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33" activeTab="35"/>
  </bookViews>
  <sheets>
    <sheet name="NRWNBB" sheetId="1" state="veryHidden" r:id="rId1"/>
    <sheet name="第一部分" sheetId="2" r:id="rId2"/>
    <sheet name="表1全市收入执行 " sheetId="3" r:id="rId3"/>
    <sheet name="表2全市支出执行" sheetId="4" r:id="rId4"/>
    <sheet name="表3市级收入执行 " sheetId="5" r:id="rId5"/>
    <sheet name="GAPEVW" sheetId="6" state="veryHidden" r:id="rId6"/>
    <sheet name="表4市级支出执行" sheetId="7" r:id="rId7"/>
    <sheet name="表5全市基金收入执行" sheetId="8" r:id="rId8"/>
    <sheet name="表6全市基金支出执行" sheetId="9" r:id="rId9"/>
    <sheet name="表7市级基金收入执行" sheetId="10" r:id="rId10"/>
    <sheet name="表8市级基金支出执行" sheetId="11" r:id="rId11"/>
    <sheet name="表9枣庄市国有资本经营收支执行" sheetId="12" r:id="rId12"/>
    <sheet name="表10市级国有资本经营预算执行" sheetId="13" r:id="rId13"/>
    <sheet name="表11枣庄市社会保险基金收入执行" sheetId="14" r:id="rId14"/>
    <sheet name="表12枣庄社会保险基金支出执行" sheetId="15" r:id="rId15"/>
    <sheet name="表13枣庄社会保险基金结余" sheetId="16" r:id="rId16"/>
    <sheet name="表14市级社会保险基金支出 执行情况表" sheetId="17" r:id="rId17"/>
    <sheet name="表15市级社会保险基金执行" sheetId="18" r:id="rId18"/>
    <sheet name="表16市级社会保险基金结余" sheetId="19" r:id="rId19"/>
    <sheet name="附表1收入比重表" sheetId="20" r:id="rId20"/>
    <sheet name="附表2境内财政总收入" sheetId="21" r:id="rId21"/>
    <sheet name="附表3市级一般预算执行细化表" sheetId="22" r:id="rId22"/>
    <sheet name="附表4市对区（市）返还性支出和一般性转移支付支出" sheetId="23" r:id="rId23"/>
    <sheet name="附表5市对区专项转移支付" sheetId="24" r:id="rId24"/>
    <sheet name="附表62017年地方政府债券资金分配表" sheetId="25" r:id="rId25"/>
    <sheet name="第二部分" sheetId="26" r:id="rId26"/>
    <sheet name="表1市级一般公共预算收入草案" sheetId="27" r:id="rId27"/>
    <sheet name="表2市级一般公共预算支出草案" sheetId="28" r:id="rId28"/>
    <sheet name="表3市级政府性基金收入草案" sheetId="29" r:id="rId29"/>
    <sheet name="表4市级政府性基金支出草案" sheetId="30" r:id="rId30"/>
    <sheet name="表5国有资本经营预算收支草案" sheetId="31" r:id="rId31"/>
    <sheet name="表6市级社会保险基金收入预算表" sheetId="32" r:id="rId32"/>
    <sheet name="表7市级社会保险基金支出预算表" sheetId="33" r:id="rId33"/>
    <sheet name="表10市级社会保险基金结余情况" sheetId="34" r:id="rId34"/>
    <sheet name="附表1部门预算表" sheetId="35" r:id="rId35"/>
    <sheet name="附表2支出功能分类细化到项" sheetId="36" r:id="rId36"/>
    <sheet name="附表3政府经济分类科目 " sheetId="37" r:id="rId37"/>
  </sheets>
  <definedNames>
    <definedName name="_xlnm.Print_Area" localSheetId="13">'表11枣庄市社会保险基金收入执行'!$A$1:$F$43</definedName>
    <definedName name="_xlnm.Print_Area" localSheetId="14">'表12枣庄社会保险基金支出执行'!$A$1:$F$37</definedName>
    <definedName name="_xlnm.Print_Area" localSheetId="15">'表13枣庄社会保险基金结余'!$A$1:$C$22</definedName>
    <definedName name="_xlnm.Print_Area" localSheetId="16">'表14市级社会保险基金支出 执行情况表'!$A$1:$F$37</definedName>
    <definedName name="_xlnm.Print_Area" localSheetId="2">'表1全市收入执行 '!$A$1:$H$41</definedName>
    <definedName name="_xlnm.Print_Area" localSheetId="26">'表1市级一般公共预算收入草案'!$A$1:$E$33</definedName>
    <definedName name="_xlnm.Print_Area" localSheetId="3">'表2全市支出执行'!$A$1:$H$40</definedName>
    <definedName name="_xlnm.Print_Area" localSheetId="27">'表2市级一般公共预算支出草案'!$A$1:$E$40</definedName>
    <definedName name="_xlnm.Print_Area" localSheetId="4">'表3市级收入执行 '!$A$1:$I$38</definedName>
    <definedName name="_xlnm.Print_Area" localSheetId="6">'表4市级支出执行'!$A$1:$H$42</definedName>
    <definedName name="_xlnm.Print_Area" localSheetId="7">'表5全市基金收入执行'!$A$1:$H$27</definedName>
    <definedName name="_xlnm.Print_Area" localSheetId="8">'表6全市基金支出执行'!$A$1:$H$37</definedName>
    <definedName name="_xlnm.Print_Area" localSheetId="31">'表6市级社会保险基金收入预算表'!$A$1:$D$36</definedName>
    <definedName name="_xlnm.Print_Area" localSheetId="9">'表7市级基金收入执行'!$A$1:$H$25</definedName>
    <definedName name="_xlnm.Print_Area" localSheetId="10">'表8市级基金支出执行'!$A$1:$H$37</definedName>
    <definedName name="_xlnm.Print_Titles" localSheetId="13">'表11枣庄市社会保险基金收入执行'!$1:$5</definedName>
    <definedName name="_xlnm.Print_Titles" localSheetId="14">'表12枣庄社会保险基金支出执行'!$1:$5</definedName>
    <definedName name="_xlnm.Print_Titles" localSheetId="15">'表13枣庄社会保险基金结余'!$1:$4</definedName>
    <definedName name="_xlnm.Print_Titles" localSheetId="16">'表14市级社会保险基金支出 执行情况表'!$1:$5</definedName>
    <definedName name="_xlnm.Print_Titles" localSheetId="31">'表6市级社会保险基金收入预算表'!$1:$4</definedName>
    <definedName name="_xlnm.Print_Titles" localSheetId="32">'表7市级社会保险基金支出预算表'!$1:$4</definedName>
    <definedName name="_xlnm.Print_Titles" localSheetId="34">'附表1部门预算表'!$1:$4</definedName>
    <definedName name="_xlnm.Print_Titles" localSheetId="35">'附表2支出功能分类细化到项'!$1:$4</definedName>
    <definedName name="_xlnm.Print_Titles" localSheetId="21">'附表3市级一般预算执行细化表'!$1:$4</definedName>
    <definedName name="_xlnm.Print_Titles" localSheetId="36">'附表3政府经济分类科目 '!$1:$4</definedName>
  </definedNames>
  <calcPr fullCalcOnLoad="1"/>
</workbook>
</file>

<file path=xl/comments22.xml><?xml version="1.0" encoding="utf-8"?>
<comments xmlns="http://schemas.openxmlformats.org/spreadsheetml/2006/main">
  <authors>
    <author>lduser1</author>
  </authors>
  <commentList>
    <comment ref="A493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新增加科目，删除“矿产资源补偿费安排的支出”及“探矿权使用费和价款安排的支出”</t>
        </r>
      </text>
    </comment>
    <comment ref="A510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2012年科目名称改动</t>
        </r>
      </text>
    </comment>
  </commentList>
</comments>
</file>

<file path=xl/comments27.xml><?xml version="1.0" encoding="utf-8"?>
<comments xmlns="http://schemas.openxmlformats.org/spreadsheetml/2006/main">
  <authors>
    <author>Administrator</author>
  </authors>
  <commentList>
    <comment ref="C3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国资344,预算稳定调节基金58000</t>
        </r>
      </text>
    </comment>
  </commentList>
</comments>
</file>

<file path=xl/comments36.xml><?xml version="1.0" encoding="utf-8"?>
<comments xmlns="http://schemas.openxmlformats.org/spreadsheetml/2006/main">
  <authors>
    <author>lduser1</author>
  </authors>
  <commentList>
    <comment ref="A477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2012年科目名称改动</t>
        </r>
      </text>
    </comment>
  </commentList>
</comments>
</file>

<file path=xl/sharedStrings.xml><?xml version="1.0" encoding="utf-8"?>
<sst xmlns="http://schemas.openxmlformats.org/spreadsheetml/2006/main" count="2329" uniqueCount="1269">
  <si>
    <t>第一部分       2017年全市和市级预算执行情况</t>
  </si>
  <si>
    <t>表1</t>
  </si>
  <si>
    <t>2017年枣庄市一般公共预算收入执行情况表</t>
  </si>
  <si>
    <t>单位：万元</t>
  </si>
  <si>
    <t>收 入 项 目</t>
  </si>
  <si>
    <t>2016年
决算数</t>
  </si>
  <si>
    <t>2017年
预算数</t>
  </si>
  <si>
    <t>2017年调整预算数</t>
  </si>
  <si>
    <t>2017年执行数</t>
  </si>
  <si>
    <t>备   注</t>
  </si>
  <si>
    <t>金 额</t>
  </si>
  <si>
    <t>占调整
预算%</t>
  </si>
  <si>
    <t>同比
增长%</t>
  </si>
  <si>
    <t>一、税收收入</t>
  </si>
  <si>
    <t>上年同口径938191万元</t>
  </si>
  <si>
    <t xml:space="preserve">    增值税</t>
  </si>
  <si>
    <t>上年同口径207129万元,营改增增收</t>
  </si>
  <si>
    <t xml:space="preserve">    营业税</t>
  </si>
  <si>
    <t>上年同口径72739万元，营改增减收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</si>
  <si>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</si>
  <si>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</si>
  <si>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</si>
  <si>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</si>
  <si>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</si>
  <si>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</si>
  <si>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</si>
  <si>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</si>
  <si>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</si>
  <si>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</si>
  <si>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</si>
  <si>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>二、非税收入</t>
  </si>
  <si>
    <t xml:space="preserve">    专项收入</t>
  </si>
  <si>
    <t xml:space="preserve">    行政事业性收费</t>
  </si>
  <si>
    <t xml:space="preserve">    罚没收入</t>
  </si>
  <si>
    <t xml:space="preserve">    国有资本经营收入</t>
  </si>
  <si>
    <t xml:space="preserve">    国有资源有偿使用收入</t>
  </si>
  <si>
    <t xml:space="preserve">    捐赠收入</t>
  </si>
  <si>
    <t xml:space="preserve">    政府住房基金收入</t>
  </si>
  <si>
    <t xml:space="preserve">    其他收入</t>
  </si>
  <si>
    <t>本年收入合计</t>
  </si>
  <si>
    <t>上年同口径1434545万元</t>
  </si>
  <si>
    <t>三、转移性收入</t>
  </si>
  <si>
    <t>返还性收入</t>
  </si>
  <si>
    <t>一般性转移支付收入</t>
  </si>
  <si>
    <t>专项转移支付收入</t>
  </si>
  <si>
    <t>上年结余收入</t>
  </si>
  <si>
    <t>调入资金</t>
  </si>
  <si>
    <t>债务转贷收入</t>
  </si>
  <si>
    <t>收入总计</t>
  </si>
  <si>
    <t xml:space="preserve">  备注：同口径收入是指自2016年5月1日起全面推开营改增试点后，因中央与地方收入划分调整，需要对2016年相关收入按新的收入划分比例进行同口径调整。</t>
  </si>
  <si>
    <t>表2</t>
  </si>
  <si>
    <t>2017年枣庄市一般公共预算支出执行情况表</t>
  </si>
  <si>
    <t>功能支出项目</t>
  </si>
  <si>
    <t>金  额</t>
  </si>
  <si>
    <t>相同口径比上年增长%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</si>
  <si>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</si>
  <si>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</si>
  <si>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</si>
  <si>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</si>
  <si>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</si>
  <si>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</si>
  <si>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上年文体中心建设投入较大</t>
  </si>
  <si>
    <t>七、社会保障和就业支出</t>
  </si>
  <si>
    <t>八、医疗卫生与计划生育支出</t>
  </si>
  <si>
    <t>九、节能环保支出</t>
  </si>
  <si>
    <t>上级专款减少2.2亿元</t>
  </si>
  <si>
    <t>十、城乡社区支出</t>
  </si>
  <si>
    <t>十一、农林水支出</t>
  </si>
  <si>
    <t>上级专款减少5亿元</t>
  </si>
  <si>
    <t>十二、交通运输支出</t>
  </si>
  <si>
    <t>上级专款减少2.7亿元</t>
  </si>
  <si>
    <t>十三、资源勘探信息等支出</t>
  </si>
  <si>
    <t>十四、商业服务业等支出</t>
  </si>
  <si>
    <t>十五、金融支出</t>
  </si>
  <si>
    <t>上年含创业担保贷款贴息</t>
  </si>
  <si>
    <t>十六、援助其他地区支出</t>
  </si>
  <si>
    <t>十七、国土海洋气象等支出</t>
  </si>
  <si>
    <t>十八、住房保障支出</t>
  </si>
  <si>
    <t>十九、粮油物资储备支出</t>
  </si>
  <si>
    <t>专款减少0.18亿元</t>
  </si>
  <si>
    <t>二十、预备费</t>
  </si>
  <si>
    <t>二十一、债务付息支出</t>
  </si>
  <si>
    <t>地方政府债券付息增加</t>
  </si>
  <si>
    <t>二十二、其他支出</t>
  </si>
  <si>
    <t>本年支出合计</t>
  </si>
  <si>
    <t>债务还本支出</t>
  </si>
  <si>
    <t>地方政府一般债务还本支出</t>
  </si>
  <si>
    <t>到期债务下降，置换债券减少</t>
  </si>
  <si>
    <t>转移性支出</t>
  </si>
  <si>
    <t>上解支出</t>
  </si>
  <si>
    <t>调出资金</t>
  </si>
  <si>
    <t>补充预算稳定调节基金</t>
  </si>
  <si>
    <t>结转下年支出</t>
  </si>
  <si>
    <t>支出总计</t>
  </si>
  <si>
    <t xml:space="preserve">  备注：自2017年起新增建设用地有偿使用费从政府性基金转列一般公共预算，需要对2016年支出进行同口径调整。2017年省对我市的专项转移支付减少6.9亿元，新增一般债券减少3.6亿元，剔除上述因素，一般公共预算支出同口径增长2.9%。</t>
  </si>
  <si>
    <t>表3</t>
  </si>
  <si>
    <t>2017年市级一般公共预算收入执行情况表</t>
  </si>
  <si>
    <t>比上年
增长%</t>
  </si>
  <si>
    <t>上年同口径20378万元</t>
  </si>
  <si>
    <t>增值税</t>
  </si>
  <si>
    <t>上年同口径9056万元</t>
  </si>
  <si>
    <t>营业税</t>
  </si>
  <si>
    <t>上年同口径1605万元,营改增减收</t>
  </si>
  <si>
    <t>企业所得税</t>
  </si>
  <si>
    <t>个人所得税</t>
  </si>
  <si>
    <t>城市维护建设税</t>
  </si>
  <si>
    <t>房产税</t>
  </si>
  <si>
    <t>印花税</t>
  </si>
  <si>
    <t>城镇土地使用税</t>
  </si>
  <si>
    <t>专项收入</t>
  </si>
  <si>
    <t>行政事业性收费</t>
  </si>
  <si>
    <t>罚没收入</t>
  </si>
  <si>
    <t>国有资源有偿使用收入</t>
  </si>
  <si>
    <t>捐赠收入</t>
  </si>
  <si>
    <t>政府住房基金收入</t>
  </si>
  <si>
    <t>其他收入</t>
  </si>
  <si>
    <t>上年同口径120457万元</t>
  </si>
  <si>
    <t>上解收入</t>
  </si>
  <si>
    <t>表4</t>
  </si>
  <si>
    <t>2017年市级一般公共预算支出执行情况表</t>
  </si>
  <si>
    <r>
      <t>备</t>
    </r>
    <r>
      <rPr>
        <sz val="10"/>
        <rFont val="Times New Roman"/>
        <family val="1"/>
      </rPr>
      <t xml:space="preserve">               </t>
    </r>
    <r>
      <rPr>
        <sz val="10"/>
        <rFont val="宋体"/>
        <family val="0"/>
      </rPr>
      <t>注</t>
    </r>
  </si>
  <si>
    <t>上年市直学校建设投入较大</t>
  </si>
  <si>
    <t>加改列对下支出，完成预算104%</t>
  </si>
  <si>
    <t>增加社保待遇支出</t>
  </si>
  <si>
    <t>上年支持市直医院建设投入较大</t>
  </si>
  <si>
    <t>省专款市级留用增加</t>
  </si>
  <si>
    <t>上年参股省PPP基金0.5亿元，加改列对下支出，完成预算103%</t>
  </si>
  <si>
    <t>庄里水库建设专款减少4亿元</t>
  </si>
  <si>
    <t>上级专款减少1.8亿元,同口径完成预算的101%</t>
  </si>
  <si>
    <t>剔除省专款减少因素，完成预算101%</t>
  </si>
  <si>
    <t>剔除专款减少、改列对下支出等因素，完成预算101%</t>
  </si>
  <si>
    <t>对下转移支付补助支出</t>
  </si>
  <si>
    <t>安排预算稳定调节基金</t>
  </si>
  <si>
    <t>债务转贷支出</t>
  </si>
  <si>
    <t>表5</t>
  </si>
  <si>
    <t>2017年枣庄市政府性基金预算收入执行情况表</t>
  </si>
  <si>
    <r>
      <t>项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目</t>
    </r>
  </si>
  <si>
    <t>2017年
执行数</t>
  </si>
  <si>
    <t>占调整预算%</t>
  </si>
  <si>
    <t>备  注</t>
  </si>
  <si>
    <t>一、新型墙体材料专项基金收入</t>
  </si>
  <si>
    <t>2017年4月起取消收费项目</t>
  </si>
  <si>
    <t>二、城市公用事业附加收入</t>
  </si>
  <si>
    <t>三、国有土地收益基金收入</t>
  </si>
  <si>
    <t>四、农业土地开发资金收入</t>
  </si>
  <si>
    <t>五、国有土地使用权出让收入</t>
  </si>
  <si>
    <t>六、城市基础设施配套费收入</t>
  </si>
  <si>
    <t>七、彩票公益金收入</t>
  </si>
  <si>
    <t>八、彩票发行销售机构业务费用</t>
  </si>
  <si>
    <t>九、污水处理费</t>
  </si>
  <si>
    <t>十、其他政府性基金收入</t>
  </si>
  <si>
    <t>转移性收入</t>
  </si>
  <si>
    <t xml:space="preserve">    政府性基金转移收入</t>
  </si>
  <si>
    <t xml:space="preserve">    　政府性基金补助收入</t>
  </si>
  <si>
    <t xml:space="preserve">    政府性基金上解收入</t>
  </si>
  <si>
    <t xml:space="preserve"> 调入资金</t>
  </si>
  <si>
    <t xml:space="preserve">    上年结余收入</t>
  </si>
  <si>
    <t xml:space="preserve"> 债务转贷收入</t>
  </si>
  <si>
    <t>表6</t>
  </si>
  <si>
    <t>2017年枣庄市政府性基金预算支出执行情况表</t>
  </si>
  <si>
    <t>项          目</t>
  </si>
  <si>
    <t>2017年预算数</t>
  </si>
  <si>
    <t>比上年增长%</t>
  </si>
  <si>
    <t>一、社会保障和就业</t>
  </si>
  <si>
    <t xml:space="preserve">    大中型水库移民后期扶持基金支出</t>
  </si>
  <si>
    <t xml:space="preserve">    小型水库移民扶助基金支出</t>
  </si>
  <si>
    <t>二、城乡社区事务</t>
  </si>
  <si>
    <t xml:space="preserve">    国有土地使用权出让收入安排的支出</t>
  </si>
  <si>
    <t xml:space="preserve">    城市公用事业附加安排的支出</t>
  </si>
  <si>
    <t xml:space="preserve">    国有土地收益基金支出</t>
  </si>
  <si>
    <t xml:space="preserve">    农业土地开发资金支出</t>
  </si>
  <si>
    <t xml:space="preserve">    新增建设用地有偿使用费安排的支出</t>
  </si>
  <si>
    <t xml:space="preserve">    城市基础设施配套费安排的支出</t>
  </si>
  <si>
    <t xml:space="preserve">    污水处理费安排的支出</t>
  </si>
  <si>
    <t>三、资源勘探电力信息等事务</t>
  </si>
  <si>
    <t xml:space="preserve">    散装水泥专项资金支出</t>
  </si>
  <si>
    <t xml:space="preserve">    新型墙体材料专项基金支出</t>
  </si>
  <si>
    <t>四、其他支出</t>
  </si>
  <si>
    <t xml:space="preserve">    其他政府性基金支出</t>
  </si>
  <si>
    <t xml:space="preserve">    彩票发行销售机构业务费安排的支出</t>
  </si>
  <si>
    <t xml:space="preserve">    彩票公益金安排的支出</t>
  </si>
  <si>
    <t>五、债务付息支出</t>
  </si>
  <si>
    <t>上年同口径支出659050万元</t>
  </si>
  <si>
    <t xml:space="preserve">    地方政府专项债务还本支出</t>
  </si>
  <si>
    <t xml:space="preserve">    政府性基金转移支付</t>
  </si>
  <si>
    <t xml:space="preserve">    　政府性基金补助支出</t>
  </si>
  <si>
    <t xml:space="preserve">    　政府性基金上解支出</t>
  </si>
  <si>
    <t xml:space="preserve">    调出资金</t>
  </si>
  <si>
    <t xml:space="preserve">    年终结转</t>
  </si>
  <si>
    <t xml:space="preserve">  备注：同口径支出是指自2017年起新增建设用地有偿使用费转列一般公共预算，需对2016年政府性基金支出进行同口径调整。</t>
  </si>
  <si>
    <t>表7</t>
  </si>
  <si>
    <t>2017年市级政府性基金预算收入执行情况表</t>
  </si>
  <si>
    <t>八、彩票销售机构发行费收入</t>
  </si>
  <si>
    <t>九、其他政府性基金收入</t>
  </si>
  <si>
    <t xml:space="preserve">    　政府性基金上解收入</t>
  </si>
  <si>
    <t xml:space="preserve">    调入资金</t>
  </si>
  <si>
    <t xml:space="preserve">    债务转贷收入</t>
  </si>
  <si>
    <t>表8</t>
  </si>
  <si>
    <t>2017年市级政府性基金预算支出执行情况表</t>
  </si>
  <si>
    <t xml:space="preserve">     大中型水库移民后期扶持基金支出</t>
  </si>
  <si>
    <t xml:space="preserve">     国有土地使用权出让收入安排的支出</t>
  </si>
  <si>
    <t>2017年4月起取消</t>
  </si>
  <si>
    <t>三、交通运输支出</t>
  </si>
  <si>
    <t xml:space="preserve">    车辆通行费安排的支出</t>
  </si>
  <si>
    <t>四、资源勘探电力信息等事务</t>
  </si>
  <si>
    <t>五、其他支出</t>
  </si>
  <si>
    <t>其他政府性基金支出</t>
  </si>
  <si>
    <t>债券付息支出</t>
  </si>
  <si>
    <t>彩票公益金安排的支出</t>
  </si>
  <si>
    <t>地方政府专项债务还本支出</t>
  </si>
  <si>
    <t xml:space="preserve">    债务转贷支出</t>
  </si>
  <si>
    <t>表9</t>
  </si>
  <si>
    <t>2017年枣庄市国有资本经营预算执行情况表</t>
  </si>
  <si>
    <t>单位：万元　</t>
  </si>
  <si>
    <t>收入项目</t>
  </si>
  <si>
    <t>一、利润收入</t>
  </si>
  <si>
    <t xml:space="preserve">   煤炭企业利润收入</t>
  </si>
  <si>
    <t xml:space="preserve">   金融企业利润收入</t>
  </si>
  <si>
    <t xml:space="preserve">   建材企业利润收入</t>
  </si>
  <si>
    <t xml:space="preserve">   其他企业利润收入</t>
  </si>
  <si>
    <t>二、股利、股息收入</t>
  </si>
  <si>
    <t>三、产权转让收入</t>
  </si>
  <si>
    <t>四、其他国有资本经营预算收入</t>
  </si>
  <si>
    <t>收入合计</t>
  </si>
  <si>
    <t>四、上级补助收入</t>
  </si>
  <si>
    <t>五、上年结余</t>
  </si>
  <si>
    <t>支出项目</t>
  </si>
  <si>
    <t>一、解决历史遗留问题及改革成本支出</t>
  </si>
  <si>
    <t>二、国有企业资本金注入</t>
  </si>
  <si>
    <t>三、国有企业政策性补贴</t>
  </si>
  <si>
    <t>四、其他国有资本经营预算支出</t>
  </si>
  <si>
    <t>支出合计</t>
  </si>
  <si>
    <t>五、调出资金</t>
  </si>
  <si>
    <t>六、结转下年</t>
  </si>
  <si>
    <t>表10</t>
  </si>
  <si>
    <t>2017年市级国有资本经营预算执行情况表</t>
  </si>
  <si>
    <t>六、转移支付支出</t>
  </si>
  <si>
    <t>表11</t>
  </si>
  <si>
    <t>2017年枣庄市社会保险基金预算收入执行情况表</t>
  </si>
  <si>
    <t>项      目</t>
  </si>
  <si>
    <t>金额</t>
  </si>
  <si>
    <t>占预算%</t>
  </si>
  <si>
    <t>增长%</t>
  </si>
  <si>
    <t>社会保险基金收入合计</t>
  </si>
  <si>
    <t>其中：保险费收入</t>
  </si>
  <si>
    <t xml:space="preserve">      利息收入</t>
  </si>
  <si>
    <t xml:space="preserve">      财政补贴收入</t>
  </si>
  <si>
    <t xml:space="preserve">      上级补助收入</t>
  </si>
  <si>
    <t>一、企业职工基本养老保险基金收入</t>
  </si>
  <si>
    <t xml:space="preserve">    其中：保险费收入</t>
  </si>
  <si>
    <t xml:space="preserve">          利息收入</t>
  </si>
  <si>
    <t xml:space="preserve">          财政补贴收入</t>
  </si>
  <si>
    <t xml:space="preserve">          上级补助收入</t>
  </si>
  <si>
    <t>二、居民基本养老保险基金收入</t>
  </si>
  <si>
    <t>三、机关事业单位养老保险基金收入</t>
  </si>
  <si>
    <t>四、职工基本医疗保险基金收入</t>
  </si>
  <si>
    <t>五、居民基本医疗保险基金收入</t>
  </si>
  <si>
    <t>六、工伤保险基金收入</t>
  </si>
  <si>
    <t>七、失业保险基金收入</t>
  </si>
  <si>
    <t>八、生育保险基金收入</t>
  </si>
  <si>
    <t>注：本表中社会保险基金收入包括社会保险费收入、利息收入、财政补贴收入、转移收入、其他收入， 为避免数据重复计算，市级与各区（市）上级补助收入、下级上解收入已对冲。</t>
  </si>
  <si>
    <t>表12</t>
  </si>
  <si>
    <t>2017年枣庄市社会保险基金预算支出执行情况表</t>
  </si>
  <si>
    <t>社会保险基金支出合计</t>
  </si>
  <si>
    <t>其中：社会保险待遇支出</t>
  </si>
  <si>
    <t>其他支出</t>
  </si>
  <si>
    <t>转移支出</t>
  </si>
  <si>
    <t>上解上级支出</t>
  </si>
  <si>
    <t>一、企业职工基本养老保险基金支出</t>
  </si>
  <si>
    <t xml:space="preserve">    其中：社会保险待遇支出</t>
  </si>
  <si>
    <t xml:space="preserve">         转移支出</t>
  </si>
  <si>
    <t xml:space="preserve">         上解上级支出</t>
  </si>
  <si>
    <t>二、居民基本养老保险基金支出</t>
  </si>
  <si>
    <t xml:space="preserve">          转移支出</t>
  </si>
  <si>
    <t>三、机关事业单位养老保险基金支出</t>
  </si>
  <si>
    <t xml:space="preserve">          其他支出</t>
  </si>
  <si>
    <t>四、职工基本医疗保险基金支出</t>
  </si>
  <si>
    <t>五、居民基本医疗保险基金支出</t>
  </si>
  <si>
    <t>六、工伤保险基金支出</t>
  </si>
  <si>
    <t xml:space="preserve">          上解上级支出</t>
  </si>
  <si>
    <t>七、失业保险基金支出</t>
  </si>
  <si>
    <t>八、生育保险基金支出</t>
  </si>
  <si>
    <t>注：本表中社会保险基金支出含社会保险待遇支出、其他支出、转移支出，为避免数据重复计算，市级和各区（市）之间的补助下级支出、上解上级支出已对冲。社会保险基金支出合计中的社会保险待遇支出，是除其他支出、转移支出、购买大病支出（居民基本医疗保险）等基金支出合计数。</t>
  </si>
  <si>
    <t>表13</t>
  </si>
  <si>
    <t>2017年枣庄市社会保险基金预算执行结余情况表</t>
  </si>
  <si>
    <t>2016年决算数</t>
  </si>
  <si>
    <t>一、社会保险基金本年收支结余合计</t>
  </si>
  <si>
    <t xml:space="preserve">  （一）企业职工基本养老保险基金本年收支结余</t>
  </si>
  <si>
    <t xml:space="preserve">  （二）居民基本养老保险基金本年收支结余</t>
  </si>
  <si>
    <t xml:space="preserve">  （三）机关事业单位养老保险基金本年收支结余</t>
  </si>
  <si>
    <t xml:space="preserve">  （四）职工基本医疗保险基金本年收支结余</t>
  </si>
  <si>
    <t xml:space="preserve">  （五）居民基本医疗保险基金本年收支结余</t>
  </si>
  <si>
    <t xml:space="preserve">  （六）工伤保险基金本年收支结余</t>
  </si>
  <si>
    <t xml:space="preserve">  （七）失业保险基金本年收支结余</t>
  </si>
  <si>
    <t xml:space="preserve">  （八）生育保险基金本年收支结余</t>
  </si>
  <si>
    <t>二、社会保险基金年末滚存结余合计</t>
  </si>
  <si>
    <t xml:space="preserve">  （一）企业职工基本养老保险基金年末滚存结余</t>
  </si>
  <si>
    <t xml:space="preserve">  （二）居民基本养老保险基金年末滚存结余</t>
  </si>
  <si>
    <t xml:space="preserve">  （三）机关事业单位养老保险基金年末滚存结余</t>
  </si>
  <si>
    <t xml:space="preserve">  （四）职工基本医疗保险基金年末滚存结余</t>
  </si>
  <si>
    <t xml:space="preserve">  （五）居民基本医疗保险基金年末滚存结余</t>
  </si>
  <si>
    <t xml:space="preserve">  （六）工伤保险基金年末滚存结余</t>
  </si>
  <si>
    <t xml:space="preserve">  （七）失业保险基金年末滚存结余</t>
  </si>
  <si>
    <t xml:space="preserve">  （八）生育保险基金年末滚存结余</t>
  </si>
  <si>
    <t>表14</t>
  </si>
  <si>
    <t>2017年市级社会保险基金预算收入执行情况表</t>
  </si>
  <si>
    <t xml:space="preserve">      下级上解收入</t>
  </si>
  <si>
    <t xml:space="preserve">          下级上解收入</t>
  </si>
  <si>
    <t>二、机关事业单位养老保险基金收入</t>
  </si>
  <si>
    <t>三、职工基本医疗保险基金收入</t>
  </si>
  <si>
    <t>四、工伤保险基金收入</t>
  </si>
  <si>
    <t xml:space="preserve">         利息收入</t>
  </si>
  <si>
    <t xml:space="preserve">         下级上解收入</t>
  </si>
  <si>
    <t>五、失业保险基金收入</t>
  </si>
  <si>
    <t>六、生育保险基金收入</t>
  </si>
  <si>
    <t>注：本表中社会保险基金收入包括社会保险费收入、利息收入、财政补贴收入、转移收入、其他收入、 上级补助收入、下级上解收入。</t>
  </si>
  <si>
    <t>表15</t>
  </si>
  <si>
    <t>2017年市级社会保险基金预算支出执行情况表</t>
  </si>
  <si>
    <t xml:space="preserve">      其他支出</t>
  </si>
  <si>
    <t xml:space="preserve">      转移支出</t>
  </si>
  <si>
    <t xml:space="preserve">      补助下级支出</t>
  </si>
  <si>
    <t xml:space="preserve">      上解上级支出</t>
  </si>
  <si>
    <t>二、机关事业单位养老保险基金支出</t>
  </si>
  <si>
    <t>三、职工基本医疗保险基金支出</t>
  </si>
  <si>
    <t>四、工伤保险基金支出</t>
  </si>
  <si>
    <t>五、失业保险基金支出</t>
  </si>
  <si>
    <t xml:space="preserve">          补助下级支出</t>
  </si>
  <si>
    <t>六、生育保险基金支出</t>
  </si>
  <si>
    <t>注：本表中社会保险基金支出含社会保险待遇支出、其他支出、转移支出、补助下级支出、上解上级支出。社会保险基金支出合计中的社会保险待遇支出，是除其他支出和转移支出外的基金支出合计数，失业保险扣除不可比口径。</t>
  </si>
  <si>
    <t>表16</t>
  </si>
  <si>
    <t>2017年市级社会保险基金预算执行结余情况表</t>
  </si>
  <si>
    <t xml:space="preserve">  （二）机关事业单位养老保险基金本年收支结余</t>
  </si>
  <si>
    <t xml:space="preserve">  （三）职工基本医疗保险基金本年收支结余</t>
  </si>
  <si>
    <t xml:space="preserve">  （四）工伤保险基金本年收支结余</t>
  </si>
  <si>
    <t xml:space="preserve">  （五）失业保险基金本年收支结余</t>
  </si>
  <si>
    <t xml:space="preserve">  （六）生育保险基金本年收支结余</t>
  </si>
  <si>
    <t xml:space="preserve">  （二）机关事业单位养老保险基金年末滚存结余</t>
  </si>
  <si>
    <t xml:space="preserve">  （三）职工基本医疗保险基金年末滚存结余</t>
  </si>
  <si>
    <t xml:space="preserve">  （四）工伤保险基金年末滚存结余</t>
  </si>
  <si>
    <t xml:space="preserve">  （五）失业保险基金年末滚存结余</t>
  </si>
  <si>
    <t xml:space="preserve">  （六）生育保险基金年末滚存结余</t>
  </si>
  <si>
    <t>附表1</t>
  </si>
  <si>
    <t>2017年枣庄市财政收入比重情况表</t>
  </si>
  <si>
    <t>单位：亿元</t>
  </si>
  <si>
    <t>项 目 名 称</t>
  </si>
  <si>
    <t>2016年完成</t>
  </si>
  <si>
    <t>2016年同口径完成</t>
  </si>
  <si>
    <t>2017年预计</t>
  </si>
  <si>
    <r>
      <t>备</t>
    </r>
    <r>
      <rPr>
        <sz val="11"/>
        <rFont val="Times New Roman"/>
        <family val="1"/>
      </rPr>
      <t xml:space="preserve">              </t>
    </r>
    <r>
      <rPr>
        <sz val="11"/>
        <rFont val="宋体"/>
        <family val="0"/>
      </rPr>
      <t>注</t>
    </r>
  </si>
  <si>
    <t>一、全市国内生产总值（GDP）</t>
  </si>
  <si>
    <t>预计较上年增长6.7%</t>
  </si>
  <si>
    <t>二、境内一般公共预算总收入</t>
  </si>
  <si>
    <t>较上年增加16.2亿元，增长8.3%</t>
  </si>
  <si>
    <t>三、地方一般公共预算收入</t>
  </si>
  <si>
    <t>较上年同比增加1.7亿元，同比增长1.2%</t>
  </si>
  <si>
    <t>其中：税收收入</t>
  </si>
  <si>
    <t>较上年同比增加7.7亿元，同比增长8.7%</t>
  </si>
  <si>
    <r>
      <t xml:space="preserve">            </t>
    </r>
    <r>
      <rPr>
        <sz val="11"/>
        <rFont val="宋体"/>
        <family val="0"/>
      </rPr>
      <t>非税收入</t>
    </r>
  </si>
  <si>
    <t>较上年减少6.5亿元，下降13%</t>
  </si>
  <si>
    <t>四、境内一般公共预算总收入占GDP的比重(%)</t>
  </si>
  <si>
    <t>较上年下降0.3个百分点</t>
  </si>
  <si>
    <t>五、地方一般公共预算收入占GDP的比重(%)</t>
  </si>
  <si>
    <t>较上年同比下降0.6个百分点</t>
  </si>
  <si>
    <t>六、税收占地方一般公共预算收入的比重(%)</t>
  </si>
  <si>
    <t>较上年同比提高4.8个百分点</t>
  </si>
  <si>
    <t>七、非税收入占地方一般公共预算收入的比重(%)</t>
  </si>
  <si>
    <t>较上年同比下降4.8个百分点</t>
  </si>
  <si>
    <t>八、“四税”（增值税、营业税、企业所得税、个人所得税）收入</t>
  </si>
  <si>
    <t>较上年增加5.3亿元，增长13.1%</t>
  </si>
  <si>
    <t>九、“四税”占地方税收收入的比重(%)</t>
  </si>
  <si>
    <t>较上年同比提高5.9个百分点</t>
  </si>
  <si>
    <t>十、“四税”占地方一般公共预算收入的比重(%)</t>
  </si>
  <si>
    <t>较上年同比提高6.1个百分点</t>
  </si>
  <si>
    <t>附表2</t>
  </si>
  <si>
    <t>2017年枣庄市境内财政总收入构成表</t>
  </si>
  <si>
    <t>2016年完成数</t>
  </si>
  <si>
    <t>境内公共财政收入
分级构成（%）</t>
  </si>
  <si>
    <t>较2016年
增加额</t>
  </si>
  <si>
    <t>较2016年
增长%</t>
  </si>
  <si>
    <r>
      <t>备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0"/>
      </rPr>
      <t>注</t>
    </r>
  </si>
  <si>
    <t xml:space="preserve">一、境内一般公共预算总收入 </t>
  </si>
  <si>
    <t>1、中央级收入</t>
  </si>
  <si>
    <t>2、省级收入</t>
  </si>
  <si>
    <t>3、市及市以下收入</t>
  </si>
  <si>
    <t>同比增长1.2%</t>
  </si>
  <si>
    <t>二、政府性基金收入</t>
  </si>
  <si>
    <t>三、国有资本经营预算收入</t>
  </si>
  <si>
    <t>四、财政专户管理资金收入</t>
  </si>
  <si>
    <t>教育收费</t>
  </si>
  <si>
    <t>五、社会保险基金收入</t>
  </si>
  <si>
    <t>包括保险费、利息、财政补贴、转移性收入、其他收入</t>
  </si>
  <si>
    <r>
      <t>合</t>
    </r>
    <r>
      <rPr>
        <sz val="11"/>
        <color indexed="8"/>
        <rFont val="Times New Roman"/>
        <family val="1"/>
      </rPr>
      <t xml:space="preserve">                      </t>
    </r>
    <r>
      <rPr>
        <sz val="11"/>
        <color indexed="8"/>
        <rFont val="宋体"/>
        <family val="0"/>
      </rPr>
      <t>计</t>
    </r>
  </si>
  <si>
    <t>附表3</t>
  </si>
  <si>
    <t>2017年市级一般公共预算支出执行细化表</t>
  </si>
  <si>
    <t>政府收支功能分类科目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</si>
  <si>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</si>
  <si>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</si>
  <si>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</si>
  <si>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</si>
  <si>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</si>
  <si>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人大立法</t>
  </si>
  <si>
    <t xml:space="preserve">      代表工作</t>
  </si>
  <si>
    <t xml:space="preserve">      其他人大事务支出</t>
  </si>
  <si>
    <t xml:space="preserve">    政协事务</t>
  </si>
  <si>
    <t xml:space="preserve">      政协会议</t>
  </si>
  <si>
    <t xml:space="preserve">      参政议政</t>
  </si>
  <si>
    <t xml:space="preserve">    政府办公厅(室)及相关机构事务</t>
  </si>
  <si>
    <t xml:space="preserve">      政务公开审批</t>
  </si>
  <si>
    <t xml:space="preserve">      法制建设</t>
  </si>
  <si>
    <t xml:space="preserve">      信访事务</t>
  </si>
  <si>
    <t xml:space="preserve">      事业运行</t>
  </si>
  <si>
    <t xml:space="preserve">      其他政府办公厅(室)及相关机构事务支出</t>
  </si>
  <si>
    <t xml:space="preserve">    发展与改革事务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</si>
  <si>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</si>
  <si>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</si>
  <si>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</si>
  <si>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</si>
  <si>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</si>
  <si>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</si>
  <si>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</si>
  <si>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财政事务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</si>
  <si>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</si>
  <si>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</si>
  <si>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</si>
  <si>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</si>
  <si>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</si>
  <si>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</si>
  <si>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代扣代收代征税款手续费</t>
  </si>
  <si>
    <t xml:space="preserve">      税务宣传</t>
  </si>
  <si>
    <t xml:space="preserve">      其他税收事务支出</t>
  </si>
  <si>
    <t xml:space="preserve">    审计事务</t>
  </si>
  <si>
    <t xml:space="preserve">    海关事务</t>
  </si>
  <si>
    <t xml:space="preserve">      其他海关事务支出</t>
  </si>
  <si>
    <t xml:space="preserve">    人力资源事务</t>
  </si>
  <si>
    <t xml:space="preserve">      军队转业干部安置</t>
  </si>
  <si>
    <t xml:space="preserve">      引进人才费用</t>
  </si>
  <si>
    <t xml:space="preserve">    纪检监察事务</t>
  </si>
  <si>
    <t xml:space="preserve">      大案要案查处</t>
  </si>
  <si>
    <t xml:space="preserve">      派驻派出机构</t>
  </si>
  <si>
    <t xml:space="preserve">      其他纪检监察事务支出</t>
  </si>
  <si>
    <t xml:space="preserve">    商贸事务</t>
  </si>
  <si>
    <t xml:space="preserve">      招商引资</t>
  </si>
  <si>
    <t xml:space="preserve">    知识产权事务</t>
  </si>
  <si>
    <t xml:space="preserve">      机关服务</t>
  </si>
  <si>
    <t xml:space="preserve">      专利试点和产业化推进</t>
  </si>
  <si>
    <t xml:space="preserve">      专利执法</t>
  </si>
  <si>
    <t xml:space="preserve">      知识产权宏观管理</t>
  </si>
  <si>
    <t xml:space="preserve">    工商行政管理事务</t>
  </si>
  <si>
    <t xml:space="preserve">      执法办案专项</t>
  </si>
  <si>
    <t xml:space="preserve">      其他工商行政管理事务支出</t>
  </si>
  <si>
    <t xml:space="preserve">    质量技术监督与检验检疫事务</t>
  </si>
  <si>
    <t xml:space="preserve">      质量技术监督行政执法及业务管理</t>
  </si>
  <si>
    <t xml:space="preserve">      认证认可监督管理</t>
  </si>
  <si>
    <t xml:space="preserve">      其他质量技术监督与检验检疫事务支出</t>
  </si>
  <si>
    <t xml:space="preserve">    民族事务</t>
  </si>
  <si>
    <t xml:space="preserve">    港澳台侨事务</t>
  </si>
  <si>
    <t xml:space="preserve">      台湾事务</t>
  </si>
  <si>
    <t xml:space="preserve">      华侨事务</t>
  </si>
  <si>
    <t xml:space="preserve">    档案事务</t>
  </si>
  <si>
    <t xml:space="preserve">      档案馆</t>
  </si>
  <si>
    <t xml:space="preserve">    民主党派及工商联事务</t>
  </si>
  <si>
    <t xml:space="preserve">    群众团体事务</t>
  </si>
  <si>
    <t xml:space="preserve">      厂务公开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</si>
  <si>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</si>
  <si>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</si>
  <si>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</si>
  <si>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</si>
  <si>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</si>
  <si>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</si>
  <si>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</si>
  <si>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</si>
  <si>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</si>
  <si>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其他共产党事务支出</t>
  </si>
  <si>
    <t xml:space="preserve">      其他共产党事务支出</t>
  </si>
  <si>
    <t xml:space="preserve">  国防支出</t>
  </si>
  <si>
    <t xml:space="preserve">    国防动员</t>
  </si>
  <si>
    <t xml:space="preserve">      兵役征集</t>
  </si>
  <si>
    <t xml:space="preserve">      人民防空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</si>
  <si>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</si>
  <si>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</si>
  <si>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</si>
  <si>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</si>
  <si>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其他国防支出(款)</t>
  </si>
  <si>
    <t xml:space="preserve">      其他国防支出(项)</t>
  </si>
  <si>
    <t xml:space="preserve">  公共安全支出</t>
  </si>
  <si>
    <t xml:space="preserve">    武装警察</t>
  </si>
  <si>
    <t xml:space="preserve">      内卫</t>
  </si>
  <si>
    <t xml:space="preserve">      消防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</si>
  <si>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</si>
  <si>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</si>
  <si>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</si>
  <si>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</si>
  <si>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</si>
  <si>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</si>
  <si>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</si>
  <si>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</si>
  <si>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</si>
  <si>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</si>
  <si>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</si>
  <si>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</si>
  <si>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</si>
  <si>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</si>
  <si>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其他公安支出</t>
  </si>
  <si>
    <t xml:space="preserve">    国家安全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</si>
  <si>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</si>
  <si>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</si>
  <si>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</si>
  <si>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</si>
  <si>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</si>
  <si>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</si>
  <si>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</si>
  <si>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</si>
  <si>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</si>
  <si>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</si>
  <si>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</si>
  <si>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</si>
  <si>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</si>
  <si>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</si>
  <si>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</si>
  <si>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</si>
  <si>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</si>
  <si>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</si>
  <si>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</si>
  <si>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其他司法支出</t>
  </si>
  <si>
    <t xml:space="preserve">    监狱</t>
  </si>
  <si>
    <t xml:space="preserve">      犯人改造</t>
  </si>
  <si>
    <t xml:space="preserve">      狱政设施建设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</si>
  <si>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</si>
  <si>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</si>
  <si>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</si>
  <si>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</si>
  <si>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国家保密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</si>
  <si>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</si>
  <si>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</si>
  <si>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</si>
  <si>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</si>
  <si>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</si>
  <si>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</si>
  <si>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</si>
  <si>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</si>
  <si>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</si>
  <si>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</si>
  <si>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中专教育</t>
  </si>
  <si>
    <t xml:space="preserve">      技校教育</t>
  </si>
  <si>
    <t xml:space="preserve">      高等职业教育</t>
  </si>
  <si>
    <t xml:space="preserve">      其他职业教育支出</t>
  </si>
  <si>
    <t xml:space="preserve">    特殊教育</t>
  </si>
  <si>
    <t xml:space="preserve">      特殊学校教育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</si>
  <si>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</si>
  <si>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</si>
  <si>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</si>
  <si>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</si>
  <si>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科学技术支出</t>
  </si>
  <si>
    <t xml:space="preserve">    科学技术管理事务</t>
  </si>
  <si>
    <t xml:space="preserve">    应用研究</t>
  </si>
  <si>
    <t xml:space="preserve">      社会公益研究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</si>
  <si>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</si>
  <si>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</si>
  <si>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</si>
  <si>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其他技术研究与开发支出</t>
  </si>
  <si>
    <t xml:space="preserve">    科技条件与服务</t>
  </si>
  <si>
    <t xml:space="preserve">      机构运行</t>
  </si>
  <si>
    <t xml:space="preserve">    社会科学</t>
  </si>
  <si>
    <t xml:space="preserve">      社会科学研究机构</t>
  </si>
  <si>
    <t xml:space="preserve">      其他社会科学支出</t>
  </si>
  <si>
    <t xml:space="preserve">    科学技术普及</t>
  </si>
  <si>
    <t xml:space="preserve">      科普活动</t>
  </si>
  <si>
    <t xml:space="preserve">      其他科学技术普及支出</t>
  </si>
  <si>
    <t xml:space="preserve">    其他科学技术支出</t>
  </si>
  <si>
    <t xml:space="preserve">      其他科学技术支出</t>
  </si>
  <si>
    <t xml:space="preserve">  文化体育与传媒支出</t>
  </si>
  <si>
    <t xml:space="preserve">    文化</t>
  </si>
  <si>
    <t xml:space="preserve">      图书馆</t>
  </si>
  <si>
    <t xml:space="preserve">      艺术表演团体</t>
  </si>
  <si>
    <t xml:space="preserve">      文化活动</t>
  </si>
  <si>
    <t xml:space="preserve">      群众文化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</si>
  <si>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</si>
  <si>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</si>
  <si>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</si>
  <si>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</si>
  <si>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</si>
  <si>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</si>
  <si>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其他文物支出</t>
  </si>
  <si>
    <t xml:space="preserve">    体育</t>
  </si>
  <si>
    <t xml:space="preserve">      体育训练</t>
  </si>
  <si>
    <t xml:space="preserve">      体育场馆</t>
  </si>
  <si>
    <t xml:space="preserve">      群众体育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</si>
  <si>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</si>
  <si>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</si>
  <si>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</si>
  <si>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</si>
  <si>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</si>
  <si>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出版发行</t>
  </si>
  <si>
    <t xml:space="preserve">      其他新闻出版广播影视支出</t>
  </si>
  <si>
    <t xml:space="preserve">    其他文化体育与传媒支出(款)</t>
  </si>
  <si>
    <t xml:space="preserve">      宣传文化发展专项支出</t>
  </si>
  <si>
    <t xml:space="preserve">      文化产业发展专项支出</t>
  </si>
  <si>
    <t xml:space="preserve">      其他文化体育与传媒支出(项)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</si>
  <si>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</si>
  <si>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</si>
  <si>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</si>
  <si>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社会保险经办机构</t>
  </si>
  <si>
    <t xml:space="preserve">      公共就业服务和职业技能鉴定机构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</si>
  <si>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</si>
  <si>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</si>
  <si>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</si>
  <si>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</si>
  <si>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</si>
  <si>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</si>
  <si>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部队供应</t>
  </si>
  <si>
    <t xml:space="preserve">      其他民政管理事务支出</t>
  </si>
  <si>
    <t xml:space="preserve">    行政事业单位离退休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</si>
  <si>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</si>
  <si>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</si>
  <si>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</si>
  <si>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</si>
  <si>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就业补助</t>
  </si>
  <si>
    <t xml:space="preserve">      就业创业服务补贴</t>
  </si>
  <si>
    <t xml:space="preserve">      高技能人才培养补助</t>
  </si>
  <si>
    <t xml:space="preserve">    抚恤</t>
  </si>
  <si>
    <t xml:space="preserve">      死亡抚恤</t>
  </si>
  <si>
    <t xml:space="preserve">      优抚事业单位支出</t>
  </si>
  <si>
    <t xml:space="preserve">      其他优抚支出</t>
  </si>
  <si>
    <t xml:space="preserve">    退役安置</t>
  </si>
  <si>
    <t xml:space="preserve">      退伍士兵安置</t>
  </si>
  <si>
    <t xml:space="preserve">    社会福利</t>
  </si>
  <si>
    <t xml:space="preserve">      殡葬</t>
  </si>
  <si>
    <t xml:space="preserve">      社会福利事业单位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</si>
  <si>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</si>
  <si>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</si>
  <si>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</si>
  <si>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</si>
  <si>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</si>
  <si>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</si>
  <si>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</si>
  <si>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临时救助</t>
  </si>
  <si>
    <t xml:space="preserve">      流浪乞讨人员救助支出</t>
  </si>
  <si>
    <t xml:space="preserve">    其他生活救助</t>
  </si>
  <si>
    <t xml:space="preserve">      其他城市生活救助</t>
  </si>
  <si>
    <t xml:space="preserve">    财政对基本养老保险基金的补助</t>
  </si>
  <si>
    <t xml:space="preserve">      财政对企业职工基本养老保险基金的补助</t>
  </si>
  <si>
    <t xml:space="preserve">    财政对其他社会保险基金的补助</t>
  </si>
  <si>
    <t xml:space="preserve">      其他财政对社会保险基金的补助</t>
  </si>
  <si>
    <t xml:space="preserve">    其他社会保障和就业支出(款)</t>
  </si>
  <si>
    <t xml:space="preserve">      其他社会保障和就业支出(项)</t>
  </si>
  <si>
    <t xml:space="preserve">  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</si>
  <si>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</si>
  <si>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</si>
  <si>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</si>
  <si>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</si>
  <si>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</si>
  <si>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</si>
  <si>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精神病医院</t>
  </si>
  <si>
    <t xml:space="preserve">      妇产医院</t>
  </si>
  <si>
    <t xml:space="preserve">      其他专科医院</t>
  </si>
  <si>
    <t xml:space="preserve">      其他公立医院支出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</si>
  <si>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</si>
  <si>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</si>
  <si>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</si>
  <si>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</si>
  <si>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</si>
  <si>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</si>
  <si>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应急救治机构</t>
  </si>
  <si>
    <t xml:space="preserve">      采供血机构</t>
  </si>
  <si>
    <t xml:space="preserve">      基本公共卫生服务</t>
  </si>
  <si>
    <t xml:space="preserve">      重大公共卫生专项</t>
  </si>
  <si>
    <t xml:space="preserve">    计划生育事务</t>
  </si>
  <si>
    <t xml:space="preserve">      计划生育机构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</si>
  <si>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</si>
  <si>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</si>
  <si>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</si>
  <si>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</si>
  <si>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</si>
  <si>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</si>
  <si>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</si>
  <si>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</si>
  <si>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公务员医疗补助</t>
  </si>
  <si>
    <t xml:space="preserve">      其他行政事业单位医疗支出</t>
  </si>
  <si>
    <t xml:space="preserve">    医疗救助</t>
  </si>
  <si>
    <t xml:space="preserve">      疾病医疗救助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</si>
  <si>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</si>
  <si>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</si>
  <si>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</si>
  <si>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节能环保支出</t>
  </si>
  <si>
    <t xml:space="preserve">    环境保护管理事务</t>
  </si>
  <si>
    <t xml:space="preserve">      环境保护宣传</t>
  </si>
  <si>
    <t xml:space="preserve">      环境国际合作及履约</t>
  </si>
  <si>
    <t xml:space="preserve">      其他环境保护管理事务支出</t>
  </si>
  <si>
    <t xml:space="preserve">    环境监测与监察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</si>
  <si>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</si>
  <si>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</si>
  <si>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</si>
  <si>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</si>
  <si>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其他污染防治支出</t>
  </si>
  <si>
    <t xml:space="preserve">    能源节约利用(款)</t>
  </si>
  <si>
    <t xml:space="preserve">      能源节能利用(项)</t>
  </si>
  <si>
    <t xml:space="preserve">    污染减排</t>
  </si>
  <si>
    <t xml:space="preserve">       环境监测与信息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</si>
  <si>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</si>
  <si>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</si>
  <si>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</si>
  <si>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</si>
  <si>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</si>
  <si>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</si>
  <si>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</si>
  <si>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</si>
  <si>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</si>
  <si>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</si>
  <si>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</si>
  <si>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其他城乡社区公共设施支出</t>
  </si>
  <si>
    <t xml:space="preserve">    建设市场管理与监督(款)</t>
  </si>
  <si>
    <t xml:space="preserve">      建设市场管理与监督(项)</t>
  </si>
  <si>
    <t xml:space="preserve">    其他城乡社区支出(款)</t>
  </si>
  <si>
    <t xml:space="preserve">      其他城乡社区支出(项)</t>
  </si>
  <si>
    <t xml:space="preserve">  农林水支出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</si>
  <si>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</si>
  <si>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</si>
  <si>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</si>
  <si>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</si>
  <si>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</si>
  <si>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防灾救灾</t>
  </si>
  <si>
    <t xml:space="preserve">      农业资源保护修复与利用</t>
  </si>
  <si>
    <t xml:space="preserve">      其他农业支出</t>
  </si>
  <si>
    <t xml:space="preserve">    林业</t>
  </si>
  <si>
    <t xml:space="preserve">      森林培育</t>
  </si>
  <si>
    <t xml:space="preserve">      林业技术推广</t>
  </si>
  <si>
    <t xml:space="preserve">      森林资源监测</t>
  </si>
  <si>
    <t xml:space="preserve">      林业质量安全</t>
  </si>
  <si>
    <t xml:space="preserve">      林业防灾减灾</t>
  </si>
  <si>
    <t xml:space="preserve">      其他林业支出</t>
  </si>
  <si>
    <t xml:space="preserve">    水利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</si>
  <si>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</si>
  <si>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</si>
  <si>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</si>
  <si>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水土保持</t>
  </si>
  <si>
    <t xml:space="preserve">      水资源节约管理与保护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</si>
  <si>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</si>
  <si>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</si>
  <si>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</si>
  <si>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</si>
  <si>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</si>
  <si>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水利安全监督</t>
  </si>
  <si>
    <t xml:space="preserve">      其他水利支出</t>
  </si>
  <si>
    <t xml:space="preserve">    南水北调</t>
  </si>
  <si>
    <t xml:space="preserve">    扶贫</t>
  </si>
  <si>
    <t xml:space="preserve">      其他扶贫支出</t>
  </si>
  <si>
    <t xml:space="preserve">    农业综合开发</t>
  </si>
  <si>
    <t xml:space="preserve">      其他农业综合开发支出</t>
  </si>
  <si>
    <t xml:space="preserve">    农村综合改革</t>
  </si>
  <si>
    <t xml:space="preserve">      其他农村综合改革支出</t>
  </si>
  <si>
    <t xml:space="preserve">    普惠金融发展支出</t>
  </si>
  <si>
    <t xml:space="preserve">      创业担保贴息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</si>
  <si>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</si>
  <si>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</si>
  <si>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</si>
  <si>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</si>
  <si>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公路和运输安全</t>
  </si>
  <si>
    <t xml:space="preserve">      公路运输管理</t>
  </si>
  <si>
    <t xml:space="preserve">      航道维护</t>
  </si>
  <si>
    <t xml:space="preserve">      其他公路水路运输支出</t>
  </si>
  <si>
    <t xml:space="preserve">    铁路运输</t>
  </si>
  <si>
    <t xml:space="preserve">      其他铁路运输支出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</si>
  <si>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</si>
  <si>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</si>
  <si>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</si>
  <si>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邮政业支出</t>
  </si>
  <si>
    <t xml:space="preserve">      行业监管</t>
  </si>
  <si>
    <t xml:space="preserve">    车辆购置税支出</t>
  </si>
  <si>
    <t xml:space="preserve">      车辆购置税用于公路等基础设施建设支出</t>
  </si>
  <si>
    <t xml:space="preserve">    其他交通运输支出(款)</t>
  </si>
  <si>
    <t xml:space="preserve">      公共交通运营补助</t>
  </si>
  <si>
    <t xml:space="preserve">      其他交通运输支出(项)</t>
  </si>
  <si>
    <t xml:space="preserve">  资源勘探信息等支出</t>
  </si>
  <si>
    <t xml:space="preserve">    资源勘探开发</t>
  </si>
  <si>
    <t xml:space="preserve">    制造业</t>
  </si>
  <si>
    <t xml:space="preserve">      化学原料及化学制品制造业</t>
  </si>
  <si>
    <t xml:space="preserve">      其他制造业支出</t>
  </si>
  <si>
    <t xml:space="preserve">    工业和信息产业监管</t>
  </si>
  <si>
    <t xml:space="preserve">      无线电监管</t>
  </si>
  <si>
    <t xml:space="preserve">      其他工业和信息产业监管支出</t>
  </si>
  <si>
    <t xml:space="preserve">    安全生产监管</t>
  </si>
  <si>
    <t xml:space="preserve">      安全监管监察专项</t>
  </si>
  <si>
    <t xml:space="preserve">      应急救援支出</t>
  </si>
  <si>
    <t xml:space="preserve">      煤炭安全</t>
  </si>
  <si>
    <t xml:space="preserve">      其他安全生产监管支出</t>
  </si>
  <si>
    <t xml:space="preserve">    国有资产监管</t>
  </si>
  <si>
    <t xml:space="preserve">      国有企业监事会专项</t>
  </si>
  <si>
    <t xml:space="preserve">    支持中小企业发展和管理支出</t>
  </si>
  <si>
    <t xml:space="preserve">      其他支持中小企业发展和管理支出</t>
  </si>
  <si>
    <t xml:space="preserve">    其他资源勘探信息等支出(款)</t>
  </si>
  <si>
    <t xml:space="preserve">      技术改造支出</t>
  </si>
  <si>
    <t xml:space="preserve">      其他资源勘探信息等支出(项)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</si>
  <si>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</si>
  <si>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</si>
  <si>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</si>
  <si>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旅游业管理与服务支出</t>
  </si>
  <si>
    <t xml:space="preserve">      其他旅游业管理与服务支出</t>
  </si>
  <si>
    <t xml:space="preserve">    涉外发展服务支出</t>
  </si>
  <si>
    <t xml:space="preserve">      其他涉外发展服务支出</t>
  </si>
  <si>
    <t xml:space="preserve">    其他商业服务业等支出(款)</t>
  </si>
  <si>
    <t xml:space="preserve">      其他商业服务业等支出(项)</t>
  </si>
  <si>
    <t xml:space="preserve">  金融支出</t>
  </si>
  <si>
    <t xml:space="preserve">    金融发展支出</t>
  </si>
  <si>
    <t xml:space="preserve">      其他金融发展支出</t>
  </si>
  <si>
    <t xml:space="preserve">  援助其他地区支出</t>
  </si>
  <si>
    <t xml:space="preserve">    其他支出</t>
  </si>
  <si>
    <t xml:space="preserve">  国土海洋气象等支出</t>
  </si>
  <si>
    <t xml:space="preserve">    国土资源事务</t>
  </si>
  <si>
    <t xml:space="preserve">      国土资源社会公益服务</t>
  </si>
  <si>
    <t xml:space="preserve">      国土资源行业业务管理</t>
  </si>
  <si>
    <t xml:space="preserve">    海洋管理事务</t>
  </si>
  <si>
    <t xml:space="preserve">      海岛和海域保护</t>
  </si>
  <si>
    <t xml:space="preserve">    测绘事务</t>
  </si>
  <si>
    <t xml:space="preserve">      航空摄影</t>
  </si>
  <si>
    <t xml:space="preserve">    地震事务</t>
  </si>
  <si>
    <t xml:space="preserve">      地震监测</t>
  </si>
  <si>
    <t xml:space="preserve">      地震应急救援</t>
  </si>
  <si>
    <t xml:space="preserve">      其他地震事务支出</t>
  </si>
  <si>
    <t xml:space="preserve">    气象事务</t>
  </si>
  <si>
    <t xml:space="preserve">  住房保障支出</t>
  </si>
  <si>
    <t xml:space="preserve">    保障性安居工程支出</t>
  </si>
  <si>
    <t xml:space="preserve">      棚户区改造</t>
  </si>
  <si>
    <t xml:space="preserve">      公共租赁住房</t>
  </si>
  <si>
    <t xml:space="preserve">    住房改革支出</t>
  </si>
  <si>
    <t xml:space="preserve">      住房公积金</t>
  </si>
  <si>
    <t xml:space="preserve">      购房补贴</t>
  </si>
  <si>
    <t xml:space="preserve">    城乡社区住宅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</si>
  <si>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</si>
  <si>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</si>
  <si>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</si>
  <si>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粮油事务</t>
  </si>
  <si>
    <t xml:space="preserve">      其他粮油事务支出</t>
  </si>
  <si>
    <t xml:space="preserve">  其他支出(类)</t>
  </si>
  <si>
    <t xml:space="preserve">    其他支出(款)</t>
  </si>
  <si>
    <t xml:space="preserve">      其他支出(项)</t>
  </si>
  <si>
    <t xml:space="preserve">  债务付息支出</t>
  </si>
  <si>
    <t xml:space="preserve">    地方政府一般债务付息支出</t>
  </si>
  <si>
    <t xml:space="preserve">      地方政府一般债券付息支出</t>
  </si>
  <si>
    <t>附表4</t>
  </si>
  <si>
    <t>2017年市级对区（市）税收返还和一般转移支付情况表</t>
  </si>
  <si>
    <t>项 目</t>
  </si>
  <si>
    <t>合 计</t>
  </si>
  <si>
    <t>市中区</t>
  </si>
  <si>
    <t>薛城区</t>
  </si>
  <si>
    <t>峄城区</t>
  </si>
  <si>
    <t>山亭区</t>
  </si>
  <si>
    <t>台儿庄区</t>
  </si>
  <si>
    <t>滕州市</t>
  </si>
  <si>
    <t>高新区</t>
  </si>
  <si>
    <t>一、税收返还</t>
  </si>
  <si>
    <t>所得税基数返还</t>
  </si>
  <si>
    <t>成品油价格和税费改革税收返还</t>
  </si>
  <si>
    <t>增值税税收返还</t>
  </si>
  <si>
    <t>消费税税收返还</t>
  </si>
  <si>
    <t>增值税五五分享税收返还</t>
  </si>
  <si>
    <t>其他税收返还</t>
  </si>
  <si>
    <t>二、一般性转移支付补助</t>
  </si>
  <si>
    <t>其中：均衡性转移支付</t>
  </si>
  <si>
    <t>县级基本财力保障机制奖补资金</t>
  </si>
  <si>
    <t>结算补助</t>
  </si>
  <si>
    <t>企业事业单位划转补助</t>
  </si>
  <si>
    <t>基层公检法司转移支付</t>
  </si>
  <si>
    <t>城乡义务教育转移支付</t>
  </si>
  <si>
    <t>基本养老金转移支付</t>
  </si>
  <si>
    <t>城乡居民医疗保险转移支付</t>
  </si>
  <si>
    <t>农村综合改革转移支付</t>
  </si>
  <si>
    <t>产粮（油）大县奖励资金</t>
  </si>
  <si>
    <t>重点生态功能区转移支付</t>
  </si>
  <si>
    <t>固定数额补助</t>
  </si>
  <si>
    <t>革命老区转移支付</t>
  </si>
  <si>
    <t>贫困地区转移支付</t>
  </si>
  <si>
    <t>其他一般性转移支付</t>
  </si>
  <si>
    <t>合   计</t>
  </si>
  <si>
    <t>附表5</t>
  </si>
  <si>
    <t>2017年市级对区（市）专项转移支付情况表</t>
  </si>
  <si>
    <t>一、一般公共预算</t>
  </si>
  <si>
    <t>其中：教育</t>
  </si>
  <si>
    <t>科学技术</t>
  </si>
  <si>
    <t>文化体育与传媒</t>
  </si>
  <si>
    <t>社会保障和就业</t>
  </si>
  <si>
    <t>医疗卫生与计划生育</t>
  </si>
  <si>
    <t>节能环保</t>
  </si>
  <si>
    <t>城乡社区</t>
  </si>
  <si>
    <t>农林水</t>
  </si>
  <si>
    <t>交通运输</t>
  </si>
  <si>
    <t>资源勘探信息等</t>
  </si>
  <si>
    <t>住房保障</t>
  </si>
  <si>
    <t>二、政府性基金预算</t>
  </si>
  <si>
    <t>三、国有资本经营预算</t>
  </si>
  <si>
    <t>附表6</t>
  </si>
  <si>
    <t>2017年枣庄市地方政府债券资金分配表</t>
  </si>
  <si>
    <t xml:space="preserve">              单位：万元</t>
  </si>
  <si>
    <t>地区</t>
  </si>
  <si>
    <t>2016年</t>
  </si>
  <si>
    <t>2017年</t>
  </si>
  <si>
    <t>较上年增加</t>
  </si>
  <si>
    <t>合计</t>
  </si>
  <si>
    <t>一般债券</t>
  </si>
  <si>
    <t>专项债券</t>
  </si>
  <si>
    <t>全市合计</t>
  </si>
  <si>
    <t>市直</t>
  </si>
  <si>
    <t>区（市）小计</t>
  </si>
  <si>
    <t>2017年共争取地方政府债券44.12亿元，其中新增债券26.5亿元，置换债券17.62亿元。2016年共争取地方政府债券218.31亿元，其中新增债券20亿元，置换债券198.31亿元。2017年地方政府债券较上年减少174.19亿元，主要是2017年可置换债务减少，置换债券减少180.69亿元，新增债券增加6.5亿元。</t>
  </si>
  <si>
    <t>第二部分</t>
  </si>
  <si>
    <t>2018年市级预算草案</t>
  </si>
  <si>
    <t>2018年市级一般公共预算收入预算表（草案）</t>
  </si>
  <si>
    <t>2018年
预算数</t>
  </si>
  <si>
    <t>备    注</t>
  </si>
  <si>
    <t>区（市）体制上解</t>
  </si>
  <si>
    <t>收  入  总  计</t>
  </si>
  <si>
    <t>2018年市级一般公共预算支出预算表（草案）</t>
  </si>
  <si>
    <t>相同口径比
上年增长%</t>
  </si>
  <si>
    <r>
      <t>备</t>
    </r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注</t>
    </r>
  </si>
  <si>
    <t>预留基本支出增资支出</t>
  </si>
  <si>
    <t>对下转移支付和专款补助</t>
  </si>
  <si>
    <t>一般债务转贷支出</t>
  </si>
  <si>
    <t>转贷区（市）置换债券资金</t>
  </si>
  <si>
    <t>支  出  总  计</t>
  </si>
  <si>
    <t>2018年市级政府性基金预算收入预算表（草案）</t>
  </si>
  <si>
    <t>较上年
增长%</t>
  </si>
  <si>
    <t xml:space="preserve">    置换债券收入</t>
  </si>
  <si>
    <t>收 入 总 计</t>
  </si>
  <si>
    <t>2018年市级政府性基金预算支出预算表（草案）</t>
  </si>
  <si>
    <t>大中型水库移民后期扶持基金支出</t>
  </si>
  <si>
    <t>小型水库移民扶助基金支出</t>
  </si>
  <si>
    <t>二、城乡社区支出</t>
  </si>
  <si>
    <t>国有土地使用权出让收入安排的支出</t>
  </si>
  <si>
    <t>城市公用事业附加安排的支出</t>
  </si>
  <si>
    <t>国有土地收益基金支出</t>
  </si>
  <si>
    <t>农业土地开发资金支出</t>
  </si>
  <si>
    <t>城市基础设施配套费安排的支出</t>
  </si>
  <si>
    <t>三、其他支出</t>
  </si>
  <si>
    <t>彩票发行销售机构业务费安排的支出</t>
  </si>
  <si>
    <t>四、债务付息支出</t>
  </si>
  <si>
    <t>地方政府专项债务付息支出</t>
  </si>
  <si>
    <t>专项债券发行费</t>
  </si>
  <si>
    <r>
      <t>表</t>
    </r>
    <r>
      <rPr>
        <sz val="10"/>
        <rFont val="Helv"/>
        <family val="2"/>
      </rPr>
      <t>5</t>
    </r>
  </si>
  <si>
    <t>2018年市级国有资本经营预算收支预算表（草案）</t>
  </si>
  <si>
    <t xml:space="preserve">   电力企业利润收入</t>
  </si>
  <si>
    <t>泉兴集团上缴利润</t>
  </si>
  <si>
    <t xml:space="preserve">   国有控股公司股利、股息收入</t>
  </si>
  <si>
    <t>三、上级补助收入</t>
  </si>
  <si>
    <t>四、上年结余</t>
  </si>
  <si>
    <t>一、解决历史遗留问题及改革成本</t>
  </si>
  <si>
    <t>主要用于“三供一业”财政补助及市级国有企业改革支出</t>
  </si>
  <si>
    <t>三、国有企业政策补贴</t>
  </si>
  <si>
    <t>四、其他国有资本预算支出</t>
  </si>
  <si>
    <t>六、转移性支出</t>
  </si>
  <si>
    <t>2018年市级社会保险基金预算收入预算表（草案）</t>
  </si>
  <si>
    <t>2018年预算数</t>
  </si>
  <si>
    <t xml:space="preserve">         财政补贴收入</t>
  </si>
  <si>
    <t xml:space="preserve">         上级补助收入</t>
  </si>
  <si>
    <t>注：本表中社会保险基金收入包括社会保险费收入、利息收入、财政补贴收入、转移收入、其他收入，上级补助收入、下级上解收入。</t>
  </si>
  <si>
    <t>2018年市级社会保险基金预算支出预算表（草案）</t>
  </si>
  <si>
    <t>2018年市级社会保险基金预算结余预算表（草案）</t>
  </si>
  <si>
    <t>2018年市级部门预算情况表</t>
  </si>
  <si>
    <t>部门名称</t>
  </si>
  <si>
    <t xml:space="preserve">  中共枣庄市委办公室</t>
  </si>
  <si>
    <t xml:space="preserve">  枣庄市信访局</t>
  </si>
  <si>
    <t xml:space="preserve">  中共枣庄市委组织部</t>
  </si>
  <si>
    <t xml:space="preserve">  中共枣庄市委宣传部</t>
  </si>
  <si>
    <t xml:space="preserve">  中共枣庄市纪律检查委员会（枣庄市监察局）</t>
  </si>
  <si>
    <t xml:space="preserve">  中共枣庄市委统一战线工作部</t>
  </si>
  <si>
    <t xml:space="preserve">  中共枣庄市委政法委员会</t>
  </si>
  <si>
    <t xml:space="preserve">  中共枣庄市委政策研究室</t>
  </si>
  <si>
    <t xml:space="preserve">  中共枣庄市委老干部局</t>
  </si>
  <si>
    <t xml:space="preserve">  中国共产主义青年团枣庄市委员会</t>
  </si>
  <si>
    <t xml:space="preserve">  枣庄市妇女联合会</t>
  </si>
  <si>
    <t xml:space="preserve">  中共枣庄市委台湾工作办公室</t>
  </si>
  <si>
    <t xml:space="preserve">  中共枣庄市委市直机关工作委员会</t>
  </si>
  <si>
    <t xml:space="preserve">  中共枣庄市委610办公室</t>
  </si>
  <si>
    <t xml:space="preserve">  枣庄市归国华侨联合会</t>
  </si>
  <si>
    <t xml:space="preserve">  枣庄市机构编制委员会办公室</t>
  </si>
  <si>
    <t xml:space="preserve">  枣庄市接待处</t>
  </si>
  <si>
    <t xml:space="preserve">  枣庄市人民政府</t>
  </si>
  <si>
    <t xml:space="preserve">  枣庄市民族宗教局</t>
  </si>
  <si>
    <t xml:space="preserve">  枣庄市金融工作办公室</t>
  </si>
  <si>
    <t xml:space="preserve">  枣庄市无线电管理委员会</t>
  </si>
  <si>
    <t xml:space="preserve">  枣庄市人民政府政策研究室</t>
  </si>
  <si>
    <t xml:space="preserve">  枣庄市人民政府法制办公室</t>
  </si>
  <si>
    <t xml:space="preserve">  枣庄市人民政府外事和侨务办公室</t>
  </si>
  <si>
    <t xml:space="preserve">  枣庄市人民代表大会常务委员会办公室</t>
  </si>
  <si>
    <t xml:space="preserve">  中国人民政治协商会议枣庄市委员会办公室</t>
  </si>
  <si>
    <t xml:space="preserve">  枣庄市工商业联合会</t>
  </si>
  <si>
    <t xml:space="preserve">  枣庄市民主党派</t>
  </si>
  <si>
    <t xml:space="preserve">  枣庄市财政局</t>
  </si>
  <si>
    <t xml:space="preserve">  枣庄市审计局</t>
  </si>
  <si>
    <t xml:space="preserve">  枣庄市统计局</t>
  </si>
  <si>
    <t xml:space="preserve">  枣庄市政务服务中心</t>
  </si>
  <si>
    <t xml:space="preserve">  枣庄市市直机关事务管理局</t>
  </si>
  <si>
    <t xml:space="preserve">  枣庄市旅游和服务业发展委员会</t>
  </si>
  <si>
    <t xml:space="preserve">  枣庄市人民防空办公室</t>
  </si>
  <si>
    <t xml:space="preserve">  枣庄台儿庄古城管理委员会</t>
  </si>
  <si>
    <t xml:space="preserve">  枣庄仲裁委员会</t>
  </si>
  <si>
    <t xml:space="preserve">  枣庄市公安局</t>
  </si>
  <si>
    <t>含交巡警支队及五区公安分局</t>
  </si>
  <si>
    <t xml:space="preserve">  枣庄市人民检察院</t>
  </si>
  <si>
    <t xml:space="preserve">  枣庄市中级人民法院</t>
  </si>
  <si>
    <t xml:space="preserve">  枣庄市司法局</t>
  </si>
  <si>
    <t>含枣庄监狱</t>
  </si>
  <si>
    <t xml:space="preserve">  枣庄市质量技术监督局</t>
  </si>
  <si>
    <t xml:space="preserve">  枣庄市工商行政管理局</t>
  </si>
  <si>
    <t xml:space="preserve">  枣庄市地方税务局</t>
  </si>
  <si>
    <t xml:space="preserve">  枣庄市教育局</t>
  </si>
  <si>
    <t>含市直学校</t>
  </si>
  <si>
    <t xml:space="preserve">  枣庄市文学艺术界联合会</t>
  </si>
  <si>
    <t xml:space="preserve">  枣庄市文化广电新闻出版局</t>
  </si>
  <si>
    <t xml:space="preserve">  枣庄广播电视台</t>
  </si>
  <si>
    <t xml:space="preserve">  枣庄市档案局</t>
  </si>
  <si>
    <t xml:space="preserve">  枣庄市体育局</t>
  </si>
  <si>
    <t xml:space="preserve">  中共枣庄市委党校</t>
  </si>
  <si>
    <t xml:space="preserve">  枣庄市地震局</t>
  </si>
  <si>
    <t xml:space="preserve">  枣庄市科技局</t>
  </si>
  <si>
    <t xml:space="preserve">  枣庄市科学技术协会</t>
  </si>
  <si>
    <t xml:space="preserve">  枣庄市社会科学联合会</t>
  </si>
  <si>
    <t xml:space="preserve">  枣庄市知识产权局</t>
  </si>
  <si>
    <t xml:space="preserve">  中共枣庄市委党史研究室</t>
  </si>
  <si>
    <t xml:space="preserve">  枣庄市政府史志办公室</t>
  </si>
  <si>
    <t xml:space="preserve">  枣庄职业学院（枣庄技师学院）</t>
  </si>
  <si>
    <t xml:space="preserve">  枣庄日报社</t>
  </si>
  <si>
    <t xml:space="preserve">  枣庄市农业局</t>
  </si>
  <si>
    <t xml:space="preserve">  枣庄市水利和渔业局</t>
  </si>
  <si>
    <t xml:space="preserve">  枣庄市农业机械管理局</t>
  </si>
  <si>
    <t xml:space="preserve">  枣庄市畜牧兽医局</t>
  </si>
  <si>
    <t xml:space="preserve">  枣庄市林业局</t>
  </si>
  <si>
    <t xml:space="preserve">  枣庄市农业综合开发办公室</t>
  </si>
  <si>
    <t xml:space="preserve">  枣庄市气象局</t>
  </si>
  <si>
    <t xml:space="preserve">  枣庄市扶贫开发领导小组办公室</t>
  </si>
  <si>
    <t xml:space="preserve">  枣庄市供销社</t>
  </si>
  <si>
    <t xml:space="preserve">  枣庄市人力资源和社会保障局</t>
  </si>
  <si>
    <t xml:space="preserve">  枣庄市卫生和计划生育委员会</t>
  </si>
  <si>
    <t>含市直医院</t>
  </si>
  <si>
    <t xml:space="preserve">  枣庄市民政局</t>
  </si>
  <si>
    <t xml:space="preserve">  枣庄市残疾人联合会</t>
  </si>
  <si>
    <t xml:space="preserve">  枣庄市老龄工作委员会办公室</t>
  </si>
  <si>
    <t xml:space="preserve">  枣庄市红十字会</t>
  </si>
  <si>
    <t xml:space="preserve">  枣庄市食品药品监督管理局</t>
  </si>
  <si>
    <t xml:space="preserve">  枣庄市发展和改革委员会</t>
  </si>
  <si>
    <t xml:space="preserve">  枣庄市国土资源局</t>
  </si>
  <si>
    <t>含五区国土分局</t>
  </si>
  <si>
    <t xml:space="preserve">  枣庄市交通运输局</t>
  </si>
  <si>
    <t>含公路局、港航局</t>
  </si>
  <si>
    <t xml:space="preserve">  枣庄市粮食局</t>
  </si>
  <si>
    <t xml:space="preserve">  枣庄市物价局</t>
  </si>
  <si>
    <t xml:space="preserve">  枣庄市环境保护局</t>
  </si>
  <si>
    <t xml:space="preserve">  枣庄市地方铁路局</t>
  </si>
  <si>
    <t xml:space="preserve">  枣庄市总工会</t>
  </si>
  <si>
    <t xml:space="preserve">  枣庄市住房和城乡建设局</t>
  </si>
  <si>
    <t xml:space="preserve">  枣庄市城市管理局</t>
  </si>
  <si>
    <t xml:space="preserve">  枣庄市规划局</t>
  </si>
  <si>
    <t xml:space="preserve">  枣庄市经济和信息化委员会</t>
  </si>
  <si>
    <t xml:space="preserve">  枣庄市商务局</t>
  </si>
  <si>
    <t xml:space="preserve">  枣庄市招商局</t>
  </si>
  <si>
    <t xml:space="preserve">  枣庄市贸易促进会</t>
  </si>
  <si>
    <t xml:space="preserve">  枣庄市安全生产监督管理局</t>
  </si>
  <si>
    <t xml:space="preserve">  枣庄市中小企业局</t>
  </si>
  <si>
    <t xml:space="preserve">  枣庄市煤炭工业局</t>
  </si>
  <si>
    <t xml:space="preserve">  枣庄市住房公积金管理中心</t>
  </si>
  <si>
    <t xml:space="preserve">  枣庄市福利彩票销售管理中心</t>
  </si>
  <si>
    <t xml:space="preserve">  枣庄市国有资产监督管理委员会</t>
  </si>
  <si>
    <t xml:space="preserve"> </t>
  </si>
  <si>
    <t>2018年市级一般公共预算支出细化表（功能分类）</t>
  </si>
  <si>
    <t>支出功能分类科目</t>
  </si>
  <si>
    <t>备注</t>
  </si>
  <si>
    <t>一、一般公共服务</t>
  </si>
  <si>
    <t xml:space="preserve">      人大监督</t>
  </si>
  <si>
    <t xml:space="preserve">      其他政府办公厅（室）及相关机构事务支出</t>
  </si>
  <si>
    <t xml:space="preserve">      财政国库业务</t>
  </si>
  <si>
    <t xml:space="preserve">      其他人力资源事务支出</t>
  </si>
  <si>
    <t xml:space="preserve">      工商行政管理专项</t>
  </si>
  <si>
    <t xml:space="preserve">      质量技术监督技术支持</t>
  </si>
  <si>
    <t xml:space="preserve">      其他民主党派及工商联事务支出</t>
  </si>
  <si>
    <t xml:space="preserve">    党委办公厅（室）及相关机构事务</t>
  </si>
  <si>
    <t xml:space="preserve">      其他党委办公厅（室）及相关机构事务支出</t>
  </si>
  <si>
    <t xml:space="preserve">      其他统战事务支出</t>
  </si>
  <si>
    <t>二、外交支出</t>
  </si>
  <si>
    <t>三、国防支出</t>
  </si>
  <si>
    <t>四、公共安全支出</t>
  </si>
  <si>
    <t xml:space="preserve">      警犬繁育及训养</t>
  </si>
  <si>
    <t xml:space="preserve">      其他检察支出</t>
  </si>
  <si>
    <t xml:space="preserve">      其他监狱支出</t>
  </si>
  <si>
    <t xml:space="preserve">      其他强制隔离戒毒支出</t>
  </si>
  <si>
    <t>五、教育支出</t>
  </si>
  <si>
    <t xml:space="preserve">      化解农村义务教育债务支出</t>
  </si>
  <si>
    <t xml:space="preserve">    其他教育支出</t>
  </si>
  <si>
    <t>六、科学技术支出</t>
  </si>
  <si>
    <t xml:space="preserve">      学术交流活动</t>
  </si>
  <si>
    <t>七、文化体育与传媒支出</t>
  </si>
  <si>
    <t xml:space="preserve">      体育竞赛</t>
  </si>
  <si>
    <t xml:space="preserve">    其他文化体育与传媒支出</t>
  </si>
  <si>
    <t xml:space="preserve">      其他文化体育与传媒支出</t>
  </si>
  <si>
    <t>八、社会保障和就业支出</t>
  </si>
  <si>
    <t xml:space="preserve">      社会保险业务管理事务</t>
  </si>
  <si>
    <t xml:space="preserve">      退役士兵安置</t>
  </si>
  <si>
    <t xml:space="preserve">      财政对工伤保险基金的补助</t>
  </si>
  <si>
    <t xml:space="preserve">    其他社会保障和就业支出</t>
  </si>
  <si>
    <t>九、医疗卫生与计划生育支出</t>
  </si>
  <si>
    <t xml:space="preserve">      中医（民族）医院</t>
  </si>
  <si>
    <t xml:space="preserve">      妇幼保健机构</t>
  </si>
  <si>
    <t xml:space="preserve">      其他公共卫生支出</t>
  </si>
  <si>
    <t xml:space="preserve">      疾病应急救助</t>
  </si>
  <si>
    <t xml:space="preserve">    其他医疗卫生与计划生育支出</t>
  </si>
  <si>
    <t>十、节能环保支出</t>
  </si>
  <si>
    <t xml:space="preserve">    能源节约利用</t>
  </si>
  <si>
    <t xml:space="preserve">      环境监测与信息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</si>
  <si>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</si>
  <si>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</si>
  <si>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</si>
  <si>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</si>
  <si>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</si>
  <si>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</si>
  <si>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</si>
  <si>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</si>
  <si>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</si>
  <si>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</si>
  <si>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</si>
  <si>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</si>
  <si>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</si>
  <si>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</si>
  <si>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</si>
  <si>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</si>
  <si>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</si>
  <si>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</si>
  <si>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</si>
  <si>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病虫害控制</t>
  </si>
  <si>
    <t xml:space="preserve">        农产品质量安全</t>
  </si>
  <si>
    <t xml:space="preserve">        执法监管</t>
  </si>
  <si>
    <t xml:space="preserve">        防灾救灾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</si>
  <si>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</si>
  <si>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</si>
  <si>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</si>
  <si>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</si>
  <si>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</si>
  <si>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林业质量安全</t>
  </si>
  <si>
    <t xml:space="preserve">        林业防灾减灾</t>
  </si>
  <si>
    <t xml:space="preserve">      水利</t>
  </si>
  <si>
    <t xml:space="preserve">        水利工程建设</t>
  </si>
  <si>
    <t xml:space="preserve">        水利工程运行与维护</t>
  </si>
  <si>
    <t xml:space="preserve">        水土保持</t>
  </si>
  <si>
    <t xml:space="preserve">        水资源节约管理与保护</t>
  </si>
  <si>
    <t xml:space="preserve">        水质监测</t>
  </si>
  <si>
    <t xml:space="preserve">        防汛</t>
  </si>
  <si>
    <t xml:space="preserve">        水利技术推广</t>
  </si>
  <si>
    <t xml:space="preserve">        其他水利支出</t>
  </si>
  <si>
    <t xml:space="preserve">      南水北调</t>
  </si>
  <si>
    <t xml:space="preserve">      扶贫</t>
  </si>
  <si>
    <t xml:space="preserve">      农业综合开发</t>
  </si>
  <si>
    <t xml:space="preserve">        机构运行</t>
  </si>
  <si>
    <t xml:space="preserve">      普惠金融发展支出</t>
  </si>
  <si>
    <t xml:space="preserve">        创业担保贷款贴息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</si>
  <si>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</si>
  <si>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</si>
  <si>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</si>
  <si>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</si>
  <si>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公路运输管理</t>
  </si>
  <si>
    <t xml:space="preserve">        水路运输管理支出</t>
  </si>
  <si>
    <t xml:space="preserve">        其他公路水路运输支出</t>
  </si>
  <si>
    <t xml:space="preserve">      铁路运输</t>
  </si>
  <si>
    <t xml:space="preserve">        其他铁路运输支出</t>
  </si>
  <si>
    <t xml:space="preserve">      车辆购置税支出</t>
  </si>
  <si>
    <t xml:space="preserve">        车辆购置税用于公路等基础设施建设支出</t>
  </si>
  <si>
    <t>十四、资源勘探信息等支出</t>
  </si>
  <si>
    <t xml:space="preserve">      资源勘探开发</t>
  </si>
  <si>
    <t xml:space="preserve">      制造业</t>
  </si>
  <si>
    <t xml:space="preserve">        其他制造业支出</t>
  </si>
  <si>
    <t xml:space="preserve">      工业和信息产业监管</t>
  </si>
  <si>
    <t xml:space="preserve">        信息安全建设</t>
  </si>
  <si>
    <t xml:space="preserve">        无线电监管</t>
  </si>
  <si>
    <t xml:space="preserve">      安全生产监管</t>
  </si>
  <si>
    <t xml:space="preserve">        安全监管监察专项</t>
  </si>
  <si>
    <t xml:space="preserve">        其他安全生产监管支出</t>
  </si>
  <si>
    <t xml:space="preserve">      国有资产监管</t>
  </si>
  <si>
    <t xml:space="preserve">        机关服务</t>
  </si>
  <si>
    <t xml:space="preserve">        其他国有资产监管支出</t>
  </si>
  <si>
    <t xml:space="preserve">      支持中小企业发展和管理支出</t>
  </si>
  <si>
    <t xml:space="preserve">        其他支持中小企业发展和管理支出</t>
  </si>
  <si>
    <t xml:space="preserve">      其他资源勘探信息等支出</t>
  </si>
  <si>
    <t xml:space="preserve">        技术改造支出</t>
  </si>
  <si>
    <t>十五、商业服务业等支出</t>
  </si>
  <si>
    <t xml:space="preserve">      商业流通事务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</si>
  <si>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</si>
  <si>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</si>
  <si>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</si>
  <si>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</si>
  <si>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</si>
  <si>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其他涉外发展服务支出</t>
  </si>
  <si>
    <t>十六、金融支出</t>
  </si>
  <si>
    <t xml:space="preserve">      金融发展支出</t>
  </si>
  <si>
    <t xml:space="preserve">        其他金融发展支出</t>
  </si>
  <si>
    <t>十七、援助其他地区支出</t>
  </si>
  <si>
    <t>十八、国土海洋气象等支出</t>
  </si>
  <si>
    <t xml:space="preserve">      国土资源事务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</si>
  <si>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</si>
  <si>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</si>
  <si>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</si>
  <si>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地震事务</t>
  </si>
  <si>
    <t xml:space="preserve">        地震监测</t>
  </si>
  <si>
    <t xml:space="preserve">        地震应急救援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</si>
  <si>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</si>
  <si>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</si>
  <si>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</si>
  <si>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气象服务</t>
  </si>
  <si>
    <t>十九、住房保障支出</t>
  </si>
  <si>
    <t xml:space="preserve">      保障性安居工程支出</t>
  </si>
  <si>
    <t xml:space="preserve">        棚户区改造</t>
  </si>
  <si>
    <t xml:space="preserve">      住房改革支出</t>
  </si>
  <si>
    <t xml:space="preserve">        住房公积金</t>
  </si>
  <si>
    <t xml:space="preserve">      城乡社区住宅</t>
  </si>
  <si>
    <t xml:space="preserve">        住房公积金管理</t>
  </si>
  <si>
    <t>二十、粮油物资储备支出</t>
  </si>
  <si>
    <t xml:space="preserve">      粮油事务</t>
  </si>
  <si>
    <t xml:space="preserve">        其他粮油事务支出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</si>
  <si>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</si>
  <si>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</si>
  <si>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</si>
  <si>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</si>
  <si>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>二十三、债务发行费用支出</t>
  </si>
  <si>
    <t xml:space="preserve">      地方政府一般债务发行费用支出</t>
  </si>
  <si>
    <t>二十四、其他支出</t>
  </si>
  <si>
    <t xml:space="preserve">        年初预留</t>
  </si>
  <si>
    <t xml:space="preserve">        其他支出</t>
  </si>
  <si>
    <t>2018年市级一般公共预算支出细化表（经济分类）</t>
  </si>
  <si>
    <t>科目名称</t>
  </si>
  <si>
    <t>基本支出</t>
  </si>
  <si>
    <t>项目支出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</si>
  <si>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</si>
  <si>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</si>
  <si>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</si>
  <si>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</si>
  <si>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</si>
  <si>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</si>
  <si>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</si>
  <si>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</si>
  <si>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</si>
  <si>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</si>
  <si>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</si>
  <si>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</si>
  <si>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因公出国（境）费用</t>
  </si>
  <si>
    <t xml:space="preserve">  公务用车运行维护费</t>
  </si>
  <si>
    <t xml:space="preserve">  维修(护)费</t>
  </si>
  <si>
    <t xml:space="preserve">  其他商品和服务支出</t>
  </si>
  <si>
    <t>机关资本性支出（一）</t>
  </si>
  <si>
    <t xml:space="preserve">  房屋建筑物购建</t>
  </si>
  <si>
    <t xml:space="preserve">  基础设施建设</t>
  </si>
  <si>
    <t xml:space="preserve">  公务用车购置</t>
  </si>
  <si>
    <t xml:space="preserve">  设备购置</t>
  </si>
  <si>
    <t xml:space="preserve">  大型修缮</t>
  </si>
  <si>
    <t xml:space="preserve">  其他资本性支出</t>
  </si>
  <si>
    <t>对事业单位经常性补助</t>
  </si>
  <si>
    <t xml:space="preserve">  工资福利支出</t>
  </si>
  <si>
    <t xml:space="preserve">  商品和服务支出</t>
  </si>
  <si>
    <t>对事业单位资本性补助</t>
  </si>
  <si>
    <t xml:space="preserve">  资本性支出（一）</t>
  </si>
  <si>
    <t>对企业补助</t>
  </si>
  <si>
    <t xml:space="preserve">  其他对企业补助</t>
  </si>
  <si>
    <t>对个人和家庭的补助</t>
  </si>
  <si>
    <t xml:space="preserve">  社会福利和救助</t>
  </si>
  <si>
    <t xml:space="preserve">  助学金</t>
  </si>
  <si>
    <t xml:space="preserve">  离退休费</t>
  </si>
  <si>
    <t xml:space="preserve">  其他对个人和家庭的补助</t>
  </si>
  <si>
    <t>债务利息及费用支出</t>
  </si>
  <si>
    <t xml:space="preserve">  国内债务付息</t>
  </si>
  <si>
    <t xml:space="preserve">  国外债务付息</t>
  </si>
  <si>
    <t xml:space="preserve">  国内债务还本</t>
  </si>
  <si>
    <t xml:space="preserve">  国外债务还本</t>
  </si>
  <si>
    <t>预备费及预留</t>
  </si>
  <si>
    <t xml:space="preserve">  预备费</t>
  </si>
  <si>
    <t xml:space="preserve">  预留</t>
  </si>
  <si>
    <t xml:space="preserve">  其他支出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</si>
</sst>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0_ "/>
    <numFmt numFmtId="179" formatCode="0.0_ "/>
    <numFmt numFmtId="180" formatCode="0.00_ "/>
    <numFmt numFmtId="181" formatCode="0_);[Red]\(0\)"/>
    <numFmt numFmtId="182" formatCode="0.0"/>
    <numFmt numFmtId="183" formatCode="0.00_);[Red]\(0.00\)"/>
    <numFmt numFmtId="184" formatCode="#,##0.0"/>
    <numFmt numFmtId="185" formatCode="#,##0.0_ "/>
  </numFmts>
  <fonts count="57">
    <font>
      <sz val="12"/>
      <name val="宋体"/>
      <family val="0"/>
    </font>
    <font>
      <sz val="10"/>
      <name val="黑体"/>
      <family val="0"/>
    </font>
    <font>
      <sz val="16"/>
      <name val="方正小标宋简体"/>
      <family val="0"/>
    </font>
    <font>
      <sz val="10"/>
      <name val="宋体"/>
      <family val="0"/>
    </font>
    <font>
      <sz val="12"/>
      <name val="黑体"/>
      <family val="0"/>
    </font>
    <font>
      <sz val="11"/>
      <name val="宋体"/>
      <family val="0"/>
    </font>
    <font>
      <sz val="18"/>
      <name val="方正小标宋简体"/>
      <family val="0"/>
    </font>
    <font>
      <sz val="16"/>
      <name val="宋体"/>
      <family val="0"/>
    </font>
    <font>
      <sz val="12"/>
      <name val="方正小标宋简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sz val="10"/>
      <name val="Helv"/>
      <family val="2"/>
    </font>
    <font>
      <sz val="11"/>
      <name val="Helv"/>
      <family val="2"/>
    </font>
    <font>
      <sz val="20"/>
      <name val="华文中宋"/>
      <family val="0"/>
    </font>
    <font>
      <sz val="16"/>
      <name val="华文中宋"/>
      <family val="0"/>
    </font>
    <font>
      <sz val="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20"/>
      <name val="方正大黑简体"/>
      <family val="0"/>
    </font>
    <font>
      <sz val="16"/>
      <color indexed="8"/>
      <name val="方正大标宋简体"/>
      <family val="0"/>
    </font>
    <font>
      <sz val="14"/>
      <name val="黑体"/>
      <family val="0"/>
    </font>
    <font>
      <sz val="12"/>
      <color indexed="8"/>
      <name val="宋体"/>
      <family val="0"/>
    </font>
    <font>
      <sz val="16"/>
      <color indexed="8"/>
      <name val="华文中宋"/>
      <family val="0"/>
    </font>
    <font>
      <sz val="11"/>
      <name val="Times New Roman"/>
      <family val="1"/>
    </font>
    <font>
      <sz val="20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2"/>
      <name val="Arial"/>
      <family val="2"/>
    </font>
    <font>
      <sz val="12"/>
      <name val="Courier"/>
      <family val="2"/>
    </font>
    <font>
      <sz val="11"/>
      <color indexed="8"/>
      <name val="Times New Roman"/>
      <family val="1"/>
    </font>
    <font>
      <b/>
      <sz val="9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6"/>
      <color theme="1"/>
      <name val="方正大标宋简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40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44" fillId="0" borderId="4" applyNumberFormat="0" applyFill="0" applyAlignment="0" applyProtection="0"/>
    <xf numFmtId="0" fontId="40" fillId="6" borderId="0" applyNumberFormat="0" applyBorder="0" applyAlignment="0" applyProtection="0"/>
    <xf numFmtId="0" fontId="29" fillId="0" borderId="5" applyNumberFormat="0" applyFill="0" applyAlignment="0" applyProtection="0"/>
    <xf numFmtId="0" fontId="40" fillId="7" borderId="0" applyNumberFormat="0" applyBorder="0" applyAlignment="0" applyProtection="0"/>
    <xf numFmtId="0" fontId="43" fillId="8" borderId="6" applyNumberFormat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30" fillId="8" borderId="1" applyNumberFormat="0" applyAlignment="0" applyProtection="0"/>
    <xf numFmtId="0" fontId="38" fillId="9" borderId="7" applyNumberFormat="0" applyAlignment="0" applyProtection="0"/>
    <xf numFmtId="0" fontId="9" fillId="2" borderId="0" applyNumberFormat="0" applyBorder="0" applyAlignment="0" applyProtection="0"/>
    <xf numFmtId="0" fontId="40" fillId="10" borderId="0" applyNumberFormat="0" applyBorder="0" applyAlignment="0" applyProtection="0"/>
    <xf numFmtId="0" fontId="33" fillId="0" borderId="8" applyNumberFormat="0" applyFill="0" applyAlignment="0" applyProtection="0"/>
    <xf numFmtId="0" fontId="36" fillId="0" borderId="9" applyNumberFormat="0" applyFill="0" applyAlignment="0" applyProtection="0"/>
    <xf numFmtId="0" fontId="35" fillId="11" borderId="0" applyNumberFormat="0" applyBorder="0" applyAlignment="0" applyProtection="0"/>
    <xf numFmtId="0" fontId="46" fillId="3" borderId="0" applyNumberFormat="0" applyBorder="0" applyAlignment="0" applyProtection="0"/>
    <xf numFmtId="0" fontId="47" fillId="0" borderId="0">
      <alignment/>
      <protection/>
    </xf>
    <xf numFmtId="0" fontId="9" fillId="12" borderId="0" applyNumberFormat="0" applyBorder="0" applyAlignment="0" applyProtection="0"/>
    <xf numFmtId="0" fontId="40" fillId="6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177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40" fillId="6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40" fillId="6" borderId="0" applyNumberFormat="0" applyBorder="0" applyAlignment="0" applyProtection="0"/>
    <xf numFmtId="0" fontId="40" fillId="17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4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>
      <alignment/>
      <protection/>
    </xf>
  </cellStyleXfs>
  <cellXfs count="56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left" vertical="center"/>
    </xf>
    <xf numFmtId="178" fontId="51" fillId="0" borderId="13" xfId="0" applyNumberFormat="1" applyFont="1" applyFill="1" applyBorder="1" applyAlignment="1">
      <alignment horizontal="center" vertical="center"/>
    </xf>
    <xf numFmtId="178" fontId="51" fillId="0" borderId="12" xfId="0" applyNumberFormat="1" applyFont="1" applyFill="1" applyBorder="1" applyAlignment="1">
      <alignment horizontal="center" vertical="center"/>
    </xf>
    <xf numFmtId="178" fontId="51" fillId="0" borderId="14" xfId="0" applyNumberFormat="1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left" vertical="center"/>
    </xf>
    <xf numFmtId="178" fontId="51" fillId="0" borderId="0" xfId="0" applyNumberFormat="1" applyFont="1" applyFill="1" applyBorder="1" applyAlignment="1">
      <alignment horizontal="center" vertical="center"/>
    </xf>
    <xf numFmtId="178" fontId="51" fillId="0" borderId="15" xfId="0" applyNumberFormat="1" applyFont="1" applyFill="1" applyBorder="1" applyAlignment="1">
      <alignment horizontal="center" vertical="center"/>
    </xf>
    <xf numFmtId="178" fontId="51" fillId="0" borderId="16" xfId="0" applyNumberFormat="1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left" vertical="center"/>
    </xf>
    <xf numFmtId="178" fontId="51" fillId="0" borderId="18" xfId="0" applyNumberFormat="1" applyFont="1" applyFill="1" applyBorder="1" applyAlignment="1">
      <alignment horizontal="center" vertical="center"/>
    </xf>
    <xf numFmtId="178" fontId="51" fillId="0" borderId="17" xfId="0" applyNumberFormat="1" applyFont="1" applyFill="1" applyBorder="1" applyAlignment="1">
      <alignment horizontal="center" vertical="center"/>
    </xf>
    <xf numFmtId="178" fontId="51" fillId="0" borderId="19" xfId="0" applyNumberFormat="1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vertical="center"/>
    </xf>
    <xf numFmtId="178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vertical="center"/>
    </xf>
    <xf numFmtId="178" fontId="3" fillId="0" borderId="22" xfId="0" applyNumberFormat="1" applyFont="1" applyFill="1" applyBorder="1" applyAlignment="1" applyProtection="1">
      <alignment horizontal="left" vertical="center"/>
      <protection locked="0"/>
    </xf>
    <xf numFmtId="178" fontId="3" fillId="0" borderId="15" xfId="0" applyNumberFormat="1" applyFont="1" applyFill="1" applyBorder="1" applyAlignment="1" applyProtection="1">
      <alignment horizontal="center" vertical="center"/>
      <protection locked="0"/>
    </xf>
    <xf numFmtId="179" fontId="3" fillId="0" borderId="22" xfId="0" applyNumberFormat="1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78" fontId="3" fillId="0" borderId="17" xfId="0" applyNumberFormat="1" applyFont="1" applyFill="1" applyBorder="1" applyAlignment="1" applyProtection="1">
      <alignment horizontal="center" vertical="center"/>
      <protection locked="0"/>
    </xf>
    <xf numFmtId="179" fontId="3" fillId="0" borderId="21" xfId="0" applyNumberFormat="1" applyFont="1" applyFill="1" applyBorder="1" applyAlignment="1" applyProtection="1">
      <alignment horizontal="left" vertical="center"/>
      <protection locked="0"/>
    </xf>
    <xf numFmtId="179" fontId="3" fillId="0" borderId="23" xfId="0" applyNumberFormat="1" applyFont="1" applyFill="1" applyBorder="1" applyAlignment="1" applyProtection="1">
      <alignment horizontal="left" vertical="center"/>
      <protection locked="0"/>
    </xf>
    <xf numFmtId="178" fontId="3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>
      <alignment vertical="center"/>
    </xf>
    <xf numFmtId="178" fontId="3" fillId="0" borderId="23" xfId="0" applyNumberFormat="1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>
      <alignment vertical="center"/>
    </xf>
    <xf numFmtId="179" fontId="3" fillId="0" borderId="12" xfId="0" applyNumberFormat="1" applyFont="1" applyFill="1" applyBorder="1" applyAlignment="1" applyProtection="1">
      <alignment horizontal="left" vertical="center"/>
      <protection locked="0"/>
    </xf>
    <xf numFmtId="178" fontId="3" fillId="0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8" fontId="3" fillId="0" borderId="12" xfId="0" applyNumberFormat="1" applyFont="1" applyFill="1" applyBorder="1" applyAlignment="1" applyProtection="1">
      <alignment horizontal="left" vertical="center"/>
      <protection locked="0"/>
    </xf>
    <xf numFmtId="178" fontId="3" fillId="0" borderId="17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74" applyFont="1" applyFill="1" applyBorder="1" applyAlignment="1">
      <alignment horizontal="left" vertical="center"/>
      <protection/>
    </xf>
    <xf numFmtId="0" fontId="3" fillId="0" borderId="0" xfId="74" applyFont="1" applyFill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>
      <alignment vertical="center"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" fillId="0" borderId="0" xfId="41" applyFont="1" applyAlignment="1">
      <alignment horizontal="left" vertical="center"/>
      <protection/>
    </xf>
    <xf numFmtId="0" fontId="7" fillId="0" borderId="0" xfId="41" applyFont="1" applyAlignment="1">
      <alignment vertical="center"/>
      <protection/>
    </xf>
    <xf numFmtId="0" fontId="3" fillId="0" borderId="0" xfId="41" applyFont="1" applyAlignment="1">
      <alignment horizontal="right" vertical="center"/>
      <protection/>
    </xf>
    <xf numFmtId="0" fontId="1" fillId="0" borderId="0" xfId="41" applyFont="1" applyAlignment="1">
      <alignment vertical="center"/>
      <protection/>
    </xf>
    <xf numFmtId="0" fontId="3" fillId="0" borderId="0" xfId="41" applyFont="1" applyAlignment="1">
      <alignment vertical="center"/>
      <protection/>
    </xf>
    <xf numFmtId="0" fontId="0" fillId="0" borderId="0" xfId="41" applyFont="1" applyAlignment="1">
      <alignment vertical="center"/>
      <protection/>
    </xf>
    <xf numFmtId="0" fontId="0" fillId="0" borderId="0" xfId="41" applyFont="1" applyAlignment="1">
      <alignment vertical="center"/>
      <protection/>
    </xf>
    <xf numFmtId="178" fontId="0" fillId="0" borderId="0" xfId="41" applyNumberFormat="1" applyFont="1" applyAlignment="1">
      <alignment horizontal="center" vertical="center"/>
      <protection/>
    </xf>
    <xf numFmtId="0" fontId="3" fillId="0" borderId="0" xfId="78" applyFont="1" applyAlignment="1">
      <alignment horizontal="left" vertical="center"/>
      <protection/>
    </xf>
    <xf numFmtId="178" fontId="5" fillId="0" borderId="0" xfId="78" applyNumberFormat="1" applyFont="1" applyAlignment="1">
      <alignment horizontal="left" vertical="center"/>
      <protection/>
    </xf>
    <xf numFmtId="178" fontId="5" fillId="0" borderId="0" xfId="41" applyNumberFormat="1" applyFont="1" applyAlignment="1">
      <alignment horizontal="left" vertical="center"/>
      <protection/>
    </xf>
    <xf numFmtId="0" fontId="2" fillId="0" borderId="0" xfId="75" applyFont="1" applyFill="1" applyAlignment="1" applyProtection="1">
      <alignment horizontal="center" vertical="center"/>
      <protection locked="0"/>
    </xf>
    <xf numFmtId="178" fontId="3" fillId="0" borderId="0" xfId="41" applyNumberFormat="1" applyFont="1" applyAlignment="1">
      <alignment horizontal="right" vertical="center"/>
      <protection/>
    </xf>
    <xf numFmtId="0" fontId="8" fillId="0" borderId="0" xfId="75" applyFont="1" applyFill="1" applyAlignment="1" applyProtection="1">
      <alignment vertical="center"/>
      <protection locked="0"/>
    </xf>
    <xf numFmtId="180" fontId="3" fillId="0" borderId="0" xfId="41" applyNumberFormat="1" applyFont="1" applyAlignment="1">
      <alignment horizontal="center" vertical="center"/>
      <protection/>
    </xf>
    <xf numFmtId="0" fontId="9" fillId="8" borderId="24" xfId="0" applyNumberFormat="1" applyFont="1" applyFill="1" applyBorder="1" applyAlignment="1" applyProtection="1">
      <alignment horizontal="center" vertical="center" shrinkToFit="1"/>
      <protection/>
    </xf>
    <xf numFmtId="0" fontId="9" fillId="8" borderId="25" xfId="0" applyNumberFormat="1" applyFont="1" applyFill="1" applyBorder="1" applyAlignment="1" applyProtection="1">
      <alignment horizontal="center" vertical="center" wrapText="1"/>
      <protection/>
    </xf>
    <xf numFmtId="0" fontId="9" fillId="8" borderId="26" xfId="0" applyNumberFormat="1" applyFont="1" applyFill="1" applyBorder="1" applyAlignment="1" applyProtection="1">
      <alignment horizontal="center" vertical="center" wrapText="1"/>
      <protection/>
    </xf>
    <xf numFmtId="0" fontId="9" fillId="8" borderId="11" xfId="0" applyNumberFormat="1" applyFont="1" applyFill="1" applyBorder="1" applyAlignment="1" applyProtection="1">
      <alignment horizontal="center" vertical="center" wrapText="1"/>
      <protection/>
    </xf>
    <xf numFmtId="0" fontId="10" fillId="8" borderId="15" xfId="0" applyNumberFormat="1" applyFont="1" applyFill="1" applyBorder="1" applyAlignment="1" applyProtection="1">
      <alignment horizontal="left" vertical="center" wrapText="1"/>
      <protection/>
    </xf>
    <xf numFmtId="178" fontId="52" fillId="0" borderId="15" xfId="41" applyNumberFormat="1" applyFont="1" applyBorder="1" applyAlignment="1">
      <alignment horizontal="center" vertical="center" wrapText="1"/>
      <protection/>
    </xf>
    <xf numFmtId="179" fontId="52" fillId="0" borderId="15" xfId="41" applyNumberFormat="1" applyFont="1" applyBorder="1" applyAlignment="1">
      <alignment horizontal="center" vertical="center" wrapText="1"/>
      <protection/>
    </xf>
    <xf numFmtId="0" fontId="52" fillId="0" borderId="15" xfId="41" applyFont="1" applyBorder="1" applyAlignment="1">
      <alignment horizontal="justify" vertical="center" wrapText="1"/>
      <protection/>
    </xf>
    <xf numFmtId="178" fontId="51" fillId="0" borderId="15" xfId="80" applyNumberFormat="1" applyFont="1" applyBorder="1" applyAlignment="1">
      <alignment horizontal="center" vertical="center" wrapText="1"/>
    </xf>
    <xf numFmtId="178" fontId="51" fillId="0" borderId="22" xfId="80" applyNumberFormat="1" applyFont="1" applyBorder="1" applyAlignment="1">
      <alignment horizontal="center" vertical="center" wrapText="1"/>
    </xf>
    <xf numFmtId="179" fontId="51" fillId="0" borderId="15" xfId="80" applyNumberFormat="1" applyFont="1" applyBorder="1" applyAlignment="1">
      <alignment horizontal="center" vertical="center" wrapText="1"/>
    </xf>
    <xf numFmtId="0" fontId="51" fillId="0" borderId="15" xfId="41" applyFont="1" applyBorder="1" applyAlignment="1">
      <alignment horizontal="justify" vertical="center" wrapText="1"/>
      <protection/>
    </xf>
    <xf numFmtId="0" fontId="51" fillId="0" borderId="15" xfId="41" applyFont="1" applyBorder="1" applyAlignment="1">
      <alignment vertical="center" wrapText="1"/>
      <protection/>
    </xf>
    <xf numFmtId="0" fontId="51" fillId="0" borderId="15" xfId="41" applyFont="1" applyBorder="1" applyAlignment="1">
      <alignment vertical="center"/>
      <protection/>
    </xf>
    <xf numFmtId="0" fontId="51" fillId="0" borderId="17" xfId="41" applyFont="1" applyBorder="1" applyAlignment="1">
      <alignment vertical="center"/>
      <protection/>
    </xf>
    <xf numFmtId="178" fontId="52" fillId="0" borderId="17" xfId="41" applyNumberFormat="1" applyFont="1" applyBorder="1" applyAlignment="1">
      <alignment horizontal="center" vertical="center" wrapText="1"/>
      <protection/>
    </xf>
    <xf numFmtId="179" fontId="52" fillId="0" borderId="17" xfId="41" applyNumberFormat="1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left" vertical="center"/>
      <protection/>
    </xf>
    <xf numFmtId="0" fontId="7" fillId="0" borderId="0" xfId="53" applyFont="1" applyAlignment="1">
      <alignment vertical="center"/>
      <protection/>
    </xf>
    <xf numFmtId="0" fontId="1" fillId="0" borderId="0" xfId="53" applyFont="1" applyAlignment="1">
      <alignment horizontal="right" vertical="center"/>
      <protection/>
    </xf>
    <xf numFmtId="0" fontId="1" fillId="0" borderId="0" xfId="41" applyFont="1" applyAlignment="1">
      <alignment vertical="center" wrapText="1"/>
      <protection/>
    </xf>
    <xf numFmtId="0" fontId="3" fillId="0" borderId="0" xfId="41" applyFont="1" applyAlignment="1">
      <alignment horizontal="center" vertical="center" wrapText="1"/>
      <protection/>
    </xf>
    <xf numFmtId="0" fontId="3" fillId="0" borderId="0" xfId="41" applyFont="1" applyAlignment="1">
      <alignment vertical="center" wrapText="1"/>
      <protection/>
    </xf>
    <xf numFmtId="0" fontId="0" fillId="0" borderId="0" xfId="41" applyFont="1" applyAlignment="1">
      <alignment vertical="center" wrapText="1"/>
      <protection/>
    </xf>
    <xf numFmtId="180" fontId="0" fillId="0" borderId="0" xfId="41" applyNumberFormat="1" applyFont="1" applyAlignment="1">
      <alignment horizontal="center" vertical="center" wrapText="1"/>
      <protection/>
    </xf>
    <xf numFmtId="178" fontId="0" fillId="0" borderId="0" xfId="41" applyNumberFormat="1" applyFont="1" applyAlignment="1">
      <alignment horizontal="center" vertical="center" wrapText="1"/>
      <protection/>
    </xf>
    <xf numFmtId="0" fontId="0" fillId="0" borderId="0" xfId="41" applyFont="1" applyAlignment="1">
      <alignment vertical="center" wrapText="1"/>
      <protection/>
    </xf>
    <xf numFmtId="0" fontId="5" fillId="0" borderId="0" xfId="77" applyFont="1" applyFill="1" applyAlignment="1" applyProtection="1">
      <alignment horizontal="center" vertical="center" wrapText="1"/>
      <protection locked="0"/>
    </xf>
    <xf numFmtId="180" fontId="3" fillId="0" borderId="0" xfId="41" applyNumberFormat="1" applyFont="1" applyAlignment="1">
      <alignment horizontal="right" vertical="center"/>
      <protection/>
    </xf>
    <xf numFmtId="0" fontId="9" fillId="8" borderId="10" xfId="0" applyNumberFormat="1" applyFont="1" applyFill="1" applyBorder="1" applyAlignment="1" applyProtection="1">
      <alignment horizontal="center" vertical="center" shrinkToFit="1"/>
      <protection/>
    </xf>
    <xf numFmtId="0" fontId="9" fillId="8" borderId="10" xfId="0" applyNumberFormat="1" applyFont="1" applyFill="1" applyBorder="1" applyAlignment="1" applyProtection="1">
      <alignment horizontal="center" vertical="center" wrapText="1"/>
      <protection/>
    </xf>
    <xf numFmtId="178" fontId="51" fillId="0" borderId="15" xfId="41" applyNumberFormat="1" applyFont="1" applyBorder="1" applyAlignment="1">
      <alignment horizontal="left" vertical="center" wrapText="1"/>
      <protection/>
    </xf>
    <xf numFmtId="178" fontId="51" fillId="0" borderId="15" xfId="41" applyNumberFormat="1" applyFont="1" applyBorder="1" applyAlignment="1">
      <alignment horizontal="left" vertical="center" wrapText="1" indent="1"/>
      <protection/>
    </xf>
    <xf numFmtId="178" fontId="52" fillId="0" borderId="15" xfId="41" applyNumberFormat="1" applyFont="1" applyBorder="1" applyAlignment="1">
      <alignment horizontal="left" vertical="center" wrapText="1" indent="1"/>
      <protection/>
    </xf>
    <xf numFmtId="178" fontId="51" fillId="0" borderId="15" xfId="41" applyNumberFormat="1" applyFont="1" applyBorder="1" applyAlignment="1">
      <alignment horizontal="center" vertical="center" wrapText="1"/>
      <protection/>
    </xf>
    <xf numFmtId="178" fontId="52" fillId="0" borderId="15" xfId="41" applyNumberFormat="1" applyFont="1" applyBorder="1" applyAlignment="1">
      <alignment horizontal="justify" vertical="center" wrapText="1"/>
      <protection/>
    </xf>
    <xf numFmtId="178" fontId="51" fillId="0" borderId="15" xfId="41" applyNumberFormat="1" applyFont="1" applyBorder="1" applyAlignment="1">
      <alignment horizontal="justify" vertical="center" wrapText="1"/>
      <protection/>
    </xf>
    <xf numFmtId="178" fontId="51" fillId="0" borderId="15" xfId="41" applyNumberFormat="1" applyFont="1" applyBorder="1" applyAlignment="1">
      <alignment vertical="center" wrapText="1"/>
      <protection/>
    </xf>
    <xf numFmtId="178" fontId="51" fillId="0" borderId="17" xfId="41" applyNumberFormat="1" applyFont="1" applyBorder="1" applyAlignment="1">
      <alignment horizontal="justify" vertical="center" wrapText="1"/>
      <protection/>
    </xf>
    <xf numFmtId="178" fontId="51" fillId="0" borderId="17" xfId="80" applyNumberFormat="1" applyFont="1" applyBorder="1" applyAlignment="1">
      <alignment horizontal="center" vertical="center" wrapText="1"/>
    </xf>
    <xf numFmtId="178" fontId="51" fillId="0" borderId="17" xfId="41" applyNumberFormat="1" applyFont="1" applyBorder="1" applyAlignment="1">
      <alignment horizontal="center" vertical="center" wrapText="1"/>
      <protection/>
    </xf>
    <xf numFmtId="179" fontId="51" fillId="0" borderId="17" xfId="80" applyNumberFormat="1" applyFont="1" applyBorder="1" applyAlignment="1">
      <alignment horizontal="center" vertical="center" wrapText="1"/>
    </xf>
    <xf numFmtId="0" fontId="7" fillId="0" borderId="0" xfId="41" applyFont="1" applyAlignment="1">
      <alignment horizontal="right" vertical="center"/>
      <protection/>
    </xf>
    <xf numFmtId="0" fontId="51" fillId="0" borderId="0" xfId="41" applyFont="1" applyAlignment="1">
      <alignment horizontal="center" vertical="center"/>
      <protection/>
    </xf>
    <xf numFmtId="0" fontId="51" fillId="0" borderId="0" xfId="41" applyFont="1" applyAlignment="1">
      <alignment vertical="center"/>
      <protection/>
    </xf>
    <xf numFmtId="0" fontId="51" fillId="0" borderId="0" xfId="41" applyFont="1" applyAlignment="1">
      <alignment horizontal="left" vertical="center" wrapText="1"/>
      <protection/>
    </xf>
    <xf numFmtId="180" fontId="0" fillId="0" borderId="0" xfId="41" applyNumberFormat="1" applyFont="1" applyAlignment="1">
      <alignment horizontal="center" vertical="center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180" fontId="5" fillId="0" borderId="0" xfId="41" applyNumberFormat="1" applyFont="1" applyAlignment="1">
      <alignment horizontal="left" vertical="center"/>
      <protection/>
    </xf>
    <xf numFmtId="0" fontId="11" fillId="0" borderId="0" xfId="75" applyFont="1" applyFill="1" applyAlignment="1" applyProtection="1">
      <alignment horizontal="center" vertical="center"/>
      <protection locked="0"/>
    </xf>
    <xf numFmtId="178" fontId="52" fillId="0" borderId="15" xfId="41" applyNumberFormat="1" applyFont="1" applyBorder="1" applyAlignment="1">
      <alignment horizontal="left" vertical="center" wrapText="1"/>
      <protection/>
    </xf>
    <xf numFmtId="178" fontId="3" fillId="0" borderId="0" xfId="0" applyNumberFormat="1" applyFont="1" applyFill="1" applyBorder="1" applyAlignment="1" applyProtection="1">
      <alignment vertical="center" wrapText="1"/>
      <protection locked="0"/>
    </xf>
    <xf numFmtId="178" fontId="51" fillId="0" borderId="15" xfId="41" applyNumberFormat="1" applyFont="1" applyBorder="1" applyAlignment="1">
      <alignment vertical="center"/>
      <protection/>
    </xf>
    <xf numFmtId="178" fontId="51" fillId="0" borderId="15" xfId="41" applyNumberFormat="1" applyFont="1" applyBorder="1" applyAlignment="1">
      <alignment horizontal="center" vertical="center"/>
      <protection/>
    </xf>
    <xf numFmtId="178" fontId="51" fillId="0" borderId="17" xfId="41" applyNumberFormat="1" applyFont="1" applyBorder="1" applyAlignment="1">
      <alignment vertical="center"/>
      <protection/>
    </xf>
    <xf numFmtId="178" fontId="51" fillId="0" borderId="17" xfId="41" applyNumberFormat="1" applyFont="1" applyBorder="1" applyAlignment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17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79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9" fontId="3" fillId="0" borderId="17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18" xfId="0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vertical="center" shrinkToFit="1"/>
      <protection locked="0"/>
    </xf>
    <xf numFmtId="0" fontId="3" fillId="0" borderId="15" xfId="0" applyFont="1" applyFill="1" applyBorder="1" applyAlignment="1" applyProtection="1">
      <alignment vertical="center" shrinkToFit="1"/>
      <protection locked="0"/>
    </xf>
    <xf numFmtId="179" fontId="3" fillId="0" borderId="15" xfId="0" applyNumberFormat="1" applyFont="1" applyFill="1" applyBorder="1" applyAlignment="1" applyProtection="1">
      <alignment horizontal="right" vertical="center"/>
      <protection locked="0"/>
    </xf>
    <xf numFmtId="179" fontId="16" fillId="0" borderId="15" xfId="0" applyNumberFormat="1" applyFont="1" applyFill="1" applyBorder="1" applyAlignment="1" applyProtection="1">
      <alignment horizontal="left" vertical="center" wrapText="1"/>
      <protection locked="0"/>
    </xf>
    <xf numFmtId="181" fontId="0" fillId="0" borderId="0" xfId="0" applyNumberFormat="1" applyFont="1" applyFill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179" fontId="16" fillId="0" borderId="15" xfId="0" applyNumberFormat="1" applyFont="1" applyFill="1" applyBorder="1" applyAlignment="1" applyProtection="1">
      <alignment horizontal="left" vertical="center"/>
      <protection locked="0"/>
    </xf>
    <xf numFmtId="179" fontId="16" fillId="0" borderId="15" xfId="0" applyNumberFormat="1" applyFont="1" applyFill="1" applyBorder="1" applyAlignment="1" applyProtection="1">
      <alignment horizontal="right" vertical="center"/>
      <protection locked="0"/>
    </xf>
    <xf numFmtId="0" fontId="17" fillId="0" borderId="15" xfId="0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horizontal="left" vertical="center" indent="1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left" vertical="center" indent="2" shrinkToFit="1"/>
      <protection locked="0"/>
    </xf>
    <xf numFmtId="179" fontId="3" fillId="0" borderId="15" xfId="0" applyNumberFormat="1" applyFont="1" applyFill="1" applyBorder="1" applyAlignment="1" applyProtection="1">
      <alignment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179" fontId="3" fillId="0" borderId="22" xfId="0" applyNumberFormat="1" applyFont="1" applyFill="1" applyBorder="1" applyAlignment="1" applyProtection="1">
      <alignment vertical="center" shrinkToFit="1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vertical="center" shrinkToFit="1"/>
      <protection locked="0"/>
    </xf>
    <xf numFmtId="179" fontId="3" fillId="0" borderId="17" xfId="0" applyNumberFormat="1" applyFont="1" applyFill="1" applyBorder="1" applyAlignment="1" applyProtection="1">
      <alignment horizontal="right" vertical="center"/>
      <protection locked="0"/>
    </xf>
    <xf numFmtId="0" fontId="17" fillId="0" borderId="17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78" fontId="0" fillId="0" borderId="0" xfId="0" applyNumberFormat="1" applyFont="1" applyFill="1" applyAlignment="1" applyProtection="1">
      <alignment horizontal="right" vertical="center"/>
      <protection locked="0"/>
    </xf>
    <xf numFmtId="181" fontId="0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3" fontId="16" fillId="0" borderId="15" xfId="69" applyNumberFormat="1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 applyProtection="1">
      <alignment horizontal="center" vertical="center"/>
      <protection locked="0"/>
    </xf>
    <xf numFmtId="181" fontId="3" fillId="0" borderId="15" xfId="0" applyNumberFormat="1" applyFont="1" applyFill="1" applyBorder="1" applyAlignment="1" applyProtection="1">
      <alignment horizontal="right" vertical="center"/>
      <protection locked="0"/>
    </xf>
    <xf numFmtId="181" fontId="16" fillId="0" borderId="15" xfId="0" applyNumberFormat="1" applyFont="1" applyFill="1" applyBorder="1" applyAlignment="1" applyProtection="1">
      <alignment horizontal="right" vertical="center"/>
      <protection locked="0"/>
    </xf>
    <xf numFmtId="0" fontId="16" fillId="0" borderId="15" xfId="0" applyFont="1" applyFill="1" applyBorder="1" applyAlignment="1" applyProtection="1">
      <alignment vertical="center" wrapText="1"/>
      <protection locked="0"/>
    </xf>
    <xf numFmtId="179" fontId="3" fillId="0" borderId="15" xfId="0" applyNumberFormat="1" applyFont="1" applyFill="1" applyBorder="1" applyAlignment="1" applyProtection="1">
      <alignment horizontal="center"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0" fontId="3" fillId="8" borderId="17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3" fillId="0" borderId="10" xfId="76" applyFont="1" applyFill="1" applyBorder="1" applyAlignment="1">
      <alignment horizontal="center" vertical="center"/>
      <protection/>
    </xf>
    <xf numFmtId="0" fontId="3" fillId="0" borderId="20" xfId="76" applyFont="1" applyFill="1" applyBorder="1" applyAlignment="1">
      <alignment horizontal="center" vertical="center" wrapText="1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76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vertical="center"/>
    </xf>
    <xf numFmtId="1" fontId="3" fillId="0" borderId="22" xfId="0" applyNumberFormat="1" applyFont="1" applyFill="1" applyBorder="1" applyAlignment="1">
      <alignment horizontal="right" vertical="center"/>
    </xf>
    <xf numFmtId="1" fontId="3" fillId="0" borderId="12" xfId="76" applyNumberFormat="1" applyFont="1" applyFill="1" applyBorder="1" applyAlignment="1">
      <alignment horizontal="right" vertical="center"/>
      <protection/>
    </xf>
    <xf numFmtId="182" fontId="3" fillId="0" borderId="15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vertical="center" wrapText="1"/>
    </xf>
    <xf numFmtId="1" fontId="0" fillId="0" borderId="0" xfId="0" applyNumberFormat="1" applyFont="1" applyFill="1" applyAlignment="1">
      <alignment/>
    </xf>
    <xf numFmtId="1" fontId="3" fillId="0" borderId="22" xfId="0" applyNumberFormat="1" applyFont="1" applyBorder="1" applyAlignment="1">
      <alignment vertical="center"/>
    </xf>
    <xf numFmtId="1" fontId="3" fillId="0" borderId="15" xfId="76" applyNumberFormat="1" applyFont="1" applyFill="1" applyBorder="1" applyAlignment="1">
      <alignment horizontal="right" vertical="center"/>
      <protection/>
    </xf>
    <xf numFmtId="0" fontId="3" fillId="0" borderId="15" xfId="0" applyFont="1" applyFill="1" applyBorder="1" applyAlignment="1">
      <alignment horizontal="right" vertical="center"/>
    </xf>
    <xf numFmtId="0" fontId="19" fillId="0" borderId="16" xfId="0" applyFont="1" applyFill="1" applyBorder="1" applyAlignment="1">
      <alignment vertical="center" wrapText="1"/>
    </xf>
    <xf numFmtId="1" fontId="3" fillId="0" borderId="15" xfId="0" applyNumberFormat="1" applyFont="1" applyBorder="1" applyAlignment="1">
      <alignment vertical="center"/>
    </xf>
    <xf numFmtId="0" fontId="20" fillId="0" borderId="16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1" fontId="3" fillId="0" borderId="15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0" xfId="76" applyNumberFormat="1" applyFont="1" applyFill="1" applyBorder="1" applyAlignment="1">
      <alignment horizontal="right" vertical="center"/>
      <protection/>
    </xf>
    <xf numFmtId="1" fontId="3" fillId="0" borderId="15" xfId="0" applyNumberFormat="1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left" vertical="center" indent="1"/>
    </xf>
    <xf numFmtId="1" fontId="3" fillId="0" borderId="22" xfId="0" applyNumberFormat="1" applyFont="1" applyFill="1" applyBorder="1" applyAlignment="1" applyProtection="1">
      <alignment vertical="center"/>
      <protection locked="0"/>
    </xf>
    <xf numFmtId="1" fontId="3" fillId="0" borderId="22" xfId="0" applyNumberFormat="1" applyFont="1" applyFill="1" applyBorder="1" applyAlignment="1" applyProtection="1">
      <alignment horizontal="left" vertical="center" indent="1"/>
      <protection locked="0"/>
    </xf>
    <xf numFmtId="1" fontId="17" fillId="0" borderId="15" xfId="0" applyNumberFormat="1" applyFont="1" applyFill="1" applyBorder="1" applyAlignment="1">
      <alignment vertical="center" wrapText="1"/>
    </xf>
    <xf numFmtId="1" fontId="3" fillId="0" borderId="22" xfId="0" applyNumberFormat="1" applyFont="1" applyFill="1" applyBorder="1" applyAlignment="1">
      <alignment horizontal="left" vertical="center" indent="2"/>
    </xf>
    <xf numFmtId="1" fontId="3" fillId="0" borderId="17" xfId="0" applyNumberFormat="1" applyFont="1" applyFill="1" applyBorder="1" applyAlignment="1">
      <alignment horizontal="left" vertical="center" indent="2"/>
    </xf>
    <xf numFmtId="1" fontId="3" fillId="0" borderId="23" xfId="0" applyNumberFormat="1" applyFont="1" applyFill="1" applyBorder="1" applyAlignment="1">
      <alignment vertical="center"/>
    </xf>
    <xf numFmtId="182" fontId="3" fillId="0" borderId="17" xfId="0" applyNumberFormat="1" applyFont="1" applyFill="1" applyBorder="1" applyAlignment="1">
      <alignment vertical="center"/>
    </xf>
    <xf numFmtId="0" fontId="17" fillId="0" borderId="17" xfId="0" applyFont="1" applyFill="1" applyBorder="1" applyAlignment="1">
      <alignment vertical="center" wrapText="1"/>
    </xf>
    <xf numFmtId="1" fontId="3" fillId="0" borderId="13" xfId="76" applyNumberFormat="1" applyFont="1" applyFill="1" applyBorder="1" applyAlignment="1">
      <alignment horizontal="right" vertical="center"/>
      <protection/>
    </xf>
    <xf numFmtId="0" fontId="3" fillId="0" borderId="16" xfId="0" applyFont="1" applyFill="1" applyBorder="1" applyAlignment="1">
      <alignment/>
    </xf>
    <xf numFmtId="1" fontId="3" fillId="0" borderId="22" xfId="76" applyNumberFormat="1" applyFont="1" applyFill="1" applyBorder="1" applyAlignment="1">
      <alignment horizontal="right" vertical="center"/>
      <protection/>
    </xf>
    <xf numFmtId="0" fontId="3" fillId="0" borderId="22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vertical="center"/>
    </xf>
    <xf numFmtId="1" fontId="3" fillId="0" borderId="15" xfId="76" applyNumberFormat="1" applyFont="1" applyFill="1" applyBorder="1" applyAlignment="1">
      <alignment horizontal="center" vertical="center"/>
      <protection/>
    </xf>
    <xf numFmtId="1" fontId="3" fillId="0" borderId="15" xfId="76" applyNumberFormat="1" applyFont="1" applyFill="1" applyBorder="1" applyAlignment="1">
      <alignment horizontal="left" vertical="center"/>
      <protection/>
    </xf>
    <xf numFmtId="1" fontId="3" fillId="0" borderId="15" xfId="76" applyNumberFormat="1" applyFont="1" applyBorder="1" applyAlignment="1">
      <alignment horizontal="left" vertical="center" indent="1"/>
      <protection/>
    </xf>
    <xf numFmtId="0" fontId="3" fillId="0" borderId="15" xfId="0" applyFont="1" applyBorder="1" applyAlignment="1">
      <alignment horizontal="left" vertical="center" indent="1"/>
    </xf>
    <xf numFmtId="0" fontId="17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indent="1"/>
    </xf>
    <xf numFmtId="1" fontId="3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vertical="center"/>
    </xf>
    <xf numFmtId="0" fontId="54" fillId="0" borderId="29" xfId="0" applyFont="1" applyFill="1" applyBorder="1" applyAlignment="1">
      <alignment vertical="center"/>
    </xf>
    <xf numFmtId="0" fontId="54" fillId="0" borderId="3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 wrapText="1"/>
    </xf>
    <xf numFmtId="0" fontId="54" fillId="0" borderId="3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179" fontId="3" fillId="0" borderId="12" xfId="0" applyNumberFormat="1" applyFont="1" applyFill="1" applyBorder="1" applyAlignment="1" applyProtection="1">
      <alignment vertical="center" wrapText="1"/>
      <protection locked="0"/>
    </xf>
    <xf numFmtId="179" fontId="3" fillId="0" borderId="15" xfId="0" applyNumberFormat="1" applyFont="1" applyFill="1" applyBorder="1" applyAlignment="1" applyProtection="1">
      <alignment horizontal="left" vertical="center"/>
      <protection locked="0"/>
    </xf>
    <xf numFmtId="179" fontId="3" fillId="0" borderId="15" xfId="0" applyNumberFormat="1" applyFont="1" applyFill="1" applyBorder="1" applyAlignment="1" applyProtection="1">
      <alignment horizontal="left" vertical="center" indent="2"/>
      <protection locked="0"/>
    </xf>
    <xf numFmtId="179" fontId="3" fillId="0" borderId="15" xfId="0" applyNumberFormat="1" applyFont="1" applyFill="1" applyBorder="1" applyAlignment="1" applyProtection="1">
      <alignment vertical="center" wrapText="1"/>
      <protection locked="0"/>
    </xf>
    <xf numFmtId="179" fontId="3" fillId="0" borderId="17" xfId="0" applyNumberFormat="1" applyFont="1" applyFill="1" applyBorder="1" applyAlignment="1" applyProtection="1">
      <alignment horizontal="center" vertical="center"/>
      <protection locked="0"/>
    </xf>
    <xf numFmtId="179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78" fontId="3" fillId="0" borderId="15" xfId="0" applyNumberFormat="1" applyFont="1" applyFill="1" applyBorder="1" applyAlignment="1" applyProtection="1">
      <alignment horizontal="left" vertical="center" indent="2"/>
      <protection locked="0"/>
    </xf>
    <xf numFmtId="179" fontId="3" fillId="0" borderId="15" xfId="0" applyNumberFormat="1" applyFont="1" applyFill="1" applyBorder="1" applyAlignment="1" applyProtection="1">
      <alignment vertical="center"/>
      <protection locked="0"/>
    </xf>
    <xf numFmtId="179" fontId="3" fillId="0" borderId="15" xfId="0" applyNumberFormat="1" applyFont="1" applyFill="1" applyBorder="1" applyAlignment="1" applyProtection="1">
      <alignment horizontal="left" vertical="center" indent="1"/>
      <protection locked="0"/>
    </xf>
    <xf numFmtId="0" fontId="1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79" fontId="3" fillId="0" borderId="33" xfId="0" applyNumberFormat="1" applyFont="1" applyFill="1" applyBorder="1" applyAlignment="1" applyProtection="1">
      <alignment horizontal="left" vertical="center"/>
      <protection locked="0"/>
    </xf>
    <xf numFmtId="179" fontId="3" fillId="0" borderId="17" xfId="0" applyNumberFormat="1" applyFont="1" applyFill="1" applyBorder="1" applyAlignment="1" applyProtection="1">
      <alignment horizontal="left" vertical="center"/>
      <protection locked="0"/>
    </xf>
    <xf numFmtId="179" fontId="3" fillId="0" borderId="37" xfId="0" applyNumberFormat="1" applyFont="1" applyFill="1" applyBorder="1" applyAlignment="1" applyProtection="1">
      <alignment horizontal="left" vertical="center"/>
      <protection locked="0"/>
    </xf>
    <xf numFmtId="0" fontId="3" fillId="0" borderId="38" xfId="0" applyFont="1" applyFill="1" applyBorder="1" applyAlignment="1">
      <alignment horizontal="center" vertical="center"/>
    </xf>
    <xf numFmtId="178" fontId="3" fillId="0" borderId="33" xfId="0" applyNumberFormat="1" applyFont="1" applyFill="1" applyBorder="1" applyAlignment="1" applyProtection="1">
      <alignment horizontal="left" vertical="center"/>
      <protection locked="0"/>
    </xf>
    <xf numFmtId="178" fontId="3" fillId="0" borderId="37" xfId="0" applyNumberFormat="1" applyFont="1" applyFill="1" applyBorder="1" applyAlignment="1" applyProtection="1">
      <alignment horizontal="left" vertical="center"/>
      <protection locked="0"/>
    </xf>
    <xf numFmtId="0" fontId="3" fillId="0" borderId="3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4" fillId="0" borderId="0" xfId="40" applyFont="1" applyFill="1">
      <alignment/>
      <protection/>
    </xf>
    <xf numFmtId="0" fontId="24" fillId="0" borderId="0" xfId="40" applyFont="1">
      <alignment/>
      <protection/>
    </xf>
    <xf numFmtId="0" fontId="9" fillId="0" borderId="0" xfId="40" applyFont="1" applyFill="1">
      <alignment/>
      <protection/>
    </xf>
    <xf numFmtId="0" fontId="24" fillId="0" borderId="0" xfId="40" applyFont="1">
      <alignment/>
      <protection/>
    </xf>
    <xf numFmtId="0" fontId="25" fillId="0" borderId="0" xfId="40" applyFont="1" applyAlignment="1">
      <alignment horizontal="center" vertical="center"/>
      <protection/>
    </xf>
    <xf numFmtId="0" fontId="9" fillId="0" borderId="0" xfId="40" applyFont="1">
      <alignment/>
      <protection/>
    </xf>
    <xf numFmtId="0" fontId="9" fillId="0" borderId="0" xfId="40" applyFont="1" applyAlignment="1">
      <alignment horizontal="right"/>
      <protection/>
    </xf>
    <xf numFmtId="0" fontId="9" fillId="8" borderId="10" xfId="40" applyFont="1" applyFill="1" applyBorder="1" applyAlignment="1">
      <alignment horizontal="center" vertical="center"/>
      <protection/>
    </xf>
    <xf numFmtId="0" fontId="9" fillId="8" borderId="12" xfId="40" applyFont="1" applyFill="1" applyBorder="1" applyAlignment="1">
      <alignment horizontal="center" vertical="center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9" fillId="8" borderId="10" xfId="40" applyFont="1" applyFill="1" applyBorder="1" applyAlignment="1">
      <alignment horizontal="center" vertical="center" wrapText="1"/>
      <protection/>
    </xf>
    <xf numFmtId="0" fontId="9" fillId="0" borderId="10" xfId="40" applyFont="1" applyBorder="1" applyAlignment="1">
      <alignment horizontal="center" vertical="center"/>
      <protection/>
    </xf>
    <xf numFmtId="0" fontId="9" fillId="0" borderId="12" xfId="40" applyFont="1" applyFill="1" applyBorder="1" applyAlignment="1">
      <alignment horizontal="left" vertical="center" wrapText="1"/>
      <protection/>
    </xf>
    <xf numFmtId="2" fontId="9" fillId="0" borderId="12" xfId="40" applyNumberFormat="1" applyFont="1" applyFill="1" applyBorder="1" applyAlignment="1">
      <alignment horizontal="center" vertical="center" wrapText="1"/>
      <protection/>
    </xf>
    <xf numFmtId="183" fontId="9" fillId="0" borderId="12" xfId="40" applyNumberFormat="1" applyFont="1" applyFill="1" applyBorder="1" applyAlignment="1">
      <alignment horizontal="center" vertical="center" wrapText="1"/>
      <protection/>
    </xf>
    <xf numFmtId="180" fontId="9" fillId="0" borderId="22" xfId="40" applyNumberFormat="1" applyFont="1" applyFill="1" applyBorder="1" applyAlignment="1">
      <alignment horizontal="center" vertical="center" wrapText="1"/>
      <protection/>
    </xf>
    <xf numFmtId="182" fontId="9" fillId="0" borderId="15" xfId="40" applyNumberFormat="1" applyFont="1" applyFill="1" applyBorder="1" applyAlignment="1">
      <alignment horizontal="center" vertical="center" wrapText="1"/>
      <protection/>
    </xf>
    <xf numFmtId="0" fontId="24" fillId="0" borderId="16" xfId="40" applyFont="1" applyBorder="1">
      <alignment/>
      <protection/>
    </xf>
    <xf numFmtId="0" fontId="9" fillId="0" borderId="15" xfId="40" applyFont="1" applyFill="1" applyBorder="1" applyAlignment="1">
      <alignment horizontal="left" vertical="center" wrapText="1" indent="1"/>
      <protection/>
    </xf>
    <xf numFmtId="0" fontId="9" fillId="0" borderId="15" xfId="40" applyFont="1" applyFill="1" applyBorder="1" applyAlignment="1">
      <alignment horizontal="center" vertical="center" wrapText="1"/>
      <protection/>
    </xf>
    <xf numFmtId="183" fontId="9" fillId="0" borderId="22" xfId="40" applyNumberFormat="1" applyFont="1" applyFill="1" applyBorder="1" applyAlignment="1">
      <alignment horizontal="center" vertical="center" wrapText="1"/>
      <protection/>
    </xf>
    <xf numFmtId="0" fontId="20" fillId="0" borderId="16" xfId="40" applyFont="1" applyBorder="1" applyAlignment="1">
      <alignment vertical="center" wrapText="1"/>
      <protection/>
    </xf>
    <xf numFmtId="0" fontId="20" fillId="0" borderId="16" xfId="40" applyFont="1" applyBorder="1" applyAlignment="1">
      <alignment vertical="center"/>
      <protection/>
    </xf>
    <xf numFmtId="0" fontId="9" fillId="0" borderId="15" xfId="40" applyFont="1" applyFill="1" applyBorder="1" applyAlignment="1">
      <alignment horizontal="left" vertical="center" wrapText="1"/>
      <protection/>
    </xf>
    <xf numFmtId="180" fontId="9" fillId="0" borderId="15" xfId="40" applyNumberFormat="1" applyFont="1" applyFill="1" applyBorder="1" applyAlignment="1">
      <alignment horizontal="center" vertical="center" wrapText="1"/>
      <protection/>
    </xf>
    <xf numFmtId="0" fontId="20" fillId="0" borderId="16" xfId="40" applyFont="1" applyFill="1" applyBorder="1" applyAlignment="1">
      <alignment vertical="center" wrapText="1"/>
      <protection/>
    </xf>
    <xf numFmtId="0" fontId="9" fillId="0" borderId="22" xfId="40" applyFont="1" applyFill="1" applyBorder="1" applyAlignment="1">
      <alignment horizontal="left" vertical="center" wrapText="1"/>
      <protection/>
    </xf>
    <xf numFmtId="180" fontId="9" fillId="0" borderId="0" xfId="40" applyNumberFormat="1" applyFont="1" applyFill="1" applyBorder="1" applyAlignment="1">
      <alignment horizontal="center" vertical="center" wrapText="1"/>
      <protection/>
    </xf>
    <xf numFmtId="0" fontId="10" fillId="0" borderId="16" xfId="40" applyFont="1" applyBorder="1" applyAlignment="1">
      <alignment vertical="center" wrapText="1"/>
      <protection/>
    </xf>
    <xf numFmtId="0" fontId="9" fillId="0" borderId="22" xfId="40" applyFont="1" applyFill="1" applyBorder="1" applyAlignment="1">
      <alignment horizontal="left" vertical="center" wrapText="1" indent="1"/>
      <protection/>
    </xf>
    <xf numFmtId="0" fontId="9" fillId="0" borderId="22" xfId="40" applyFont="1" applyFill="1" applyBorder="1" applyAlignment="1">
      <alignment horizontal="center" vertical="center" wrapText="1"/>
      <protection/>
    </xf>
    <xf numFmtId="2" fontId="9" fillId="0" borderId="0" xfId="40" applyNumberFormat="1" applyFont="1" applyFill="1" applyBorder="1" applyAlignment="1">
      <alignment horizontal="center" vertical="center" wrapText="1"/>
      <protection/>
    </xf>
    <xf numFmtId="2" fontId="9" fillId="0" borderId="15" xfId="40" applyNumberFormat="1" applyFont="1" applyFill="1" applyBorder="1" applyAlignment="1">
      <alignment horizontal="center" vertical="center" wrapText="1"/>
      <protection/>
    </xf>
    <xf numFmtId="0" fontId="9" fillId="0" borderId="23" xfId="40" applyFont="1" applyFill="1" applyBorder="1" applyAlignment="1">
      <alignment horizontal="center" vertical="center" wrapText="1"/>
      <protection/>
    </xf>
    <xf numFmtId="2" fontId="9" fillId="0" borderId="23" xfId="40" applyNumberFormat="1" applyFont="1" applyFill="1" applyBorder="1" applyAlignment="1">
      <alignment horizontal="center" vertical="center" wrapText="1"/>
      <protection/>
    </xf>
    <xf numFmtId="0" fontId="9" fillId="0" borderId="17" xfId="40" applyFont="1" applyFill="1" applyBorder="1" applyAlignment="1">
      <alignment horizontal="center" vertical="center" wrapText="1"/>
      <protection/>
    </xf>
    <xf numFmtId="182" fontId="9" fillId="0" borderId="17" xfId="40" applyNumberFormat="1" applyFont="1" applyFill="1" applyBorder="1" applyAlignment="1">
      <alignment horizontal="center" vertical="center" wrapText="1"/>
      <protection/>
    </xf>
    <xf numFmtId="0" fontId="24" fillId="0" borderId="19" xfId="40" applyFont="1" applyBorder="1">
      <alignment/>
      <protection/>
    </xf>
    <xf numFmtId="0" fontId="5" fillId="0" borderId="0" xfId="0" applyFont="1" applyFill="1" applyAlignment="1">
      <alignment vertical="center" wrapText="1"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180" fontId="5" fillId="0" borderId="15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17" fillId="0" borderId="15" xfId="0" applyFont="1" applyBorder="1" applyAlignment="1">
      <alignment vertical="center"/>
    </xf>
    <xf numFmtId="0" fontId="5" fillId="0" borderId="22" xfId="0" applyFont="1" applyBorder="1" applyAlignment="1">
      <alignment horizontal="left" vertical="center" indent="1"/>
    </xf>
    <xf numFmtId="0" fontId="26" fillId="0" borderId="22" xfId="0" applyFont="1" applyBorder="1" applyAlignment="1">
      <alignment horizontal="left" vertical="center" indent="1"/>
    </xf>
    <xf numFmtId="0" fontId="5" fillId="0" borderId="22" xfId="0" applyFont="1" applyBorder="1" applyAlignment="1">
      <alignment vertical="center"/>
    </xf>
    <xf numFmtId="180" fontId="5" fillId="0" borderId="15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180" fontId="5" fillId="0" borderId="17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2" fillId="0" borderId="0" xfId="75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" fillId="0" borderId="10" xfId="75" applyNumberFormat="1" applyFont="1" applyFill="1" applyBorder="1" applyAlignment="1" applyProtection="1">
      <alignment horizontal="center" vertical="center" shrinkToFit="1"/>
      <protection locked="0"/>
    </xf>
    <xf numFmtId="0" fontId="10" fillId="8" borderId="10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41" applyNumberFormat="1" applyFont="1" applyAlignment="1">
      <alignment horizontal="center" vertical="center"/>
      <protection/>
    </xf>
    <xf numFmtId="0" fontId="0" fillId="0" borderId="0" xfId="53" applyFont="1" applyAlignment="1">
      <alignment vertical="center"/>
      <protection/>
    </xf>
    <xf numFmtId="179" fontId="0" fillId="0" borderId="0" xfId="41" applyNumberFormat="1" applyFont="1" applyAlignment="1">
      <alignment horizontal="center" vertical="center" wrapText="1"/>
      <protection/>
    </xf>
    <xf numFmtId="179" fontId="5" fillId="0" borderId="0" xfId="77" applyNumberFormat="1" applyFont="1" applyFill="1" applyAlignment="1" applyProtection="1">
      <alignment horizontal="center" vertical="center" wrapText="1"/>
      <protection locked="0"/>
    </xf>
    <xf numFmtId="179" fontId="5" fillId="0" borderId="0" xfId="53" applyNumberFormat="1" applyFont="1" applyAlignment="1">
      <alignment horizontal="center" vertical="center"/>
      <protection/>
    </xf>
    <xf numFmtId="179" fontId="3" fillId="0" borderId="0" xfId="41" applyNumberFormat="1" applyFont="1" applyAlignment="1">
      <alignment horizontal="right" vertical="center"/>
      <protection/>
    </xf>
    <xf numFmtId="0" fontId="10" fillId="8" borderId="10" xfId="0" applyNumberFormat="1" applyFont="1" applyFill="1" applyBorder="1" applyAlignment="1" applyProtection="1">
      <alignment horizontal="center" vertical="center" shrinkToFit="1"/>
      <protection/>
    </xf>
    <xf numFmtId="178" fontId="51" fillId="0" borderId="12" xfId="41" applyNumberFormat="1" applyFont="1" applyBorder="1" applyAlignment="1">
      <alignment horizontal="center" vertical="center" wrapText="1"/>
      <protection/>
    </xf>
    <xf numFmtId="178" fontId="51" fillId="0" borderId="12" xfId="80" applyNumberFormat="1" applyFont="1" applyBorder="1" applyAlignment="1">
      <alignment horizontal="center" vertical="center" wrapText="1"/>
    </xf>
    <xf numFmtId="178" fontId="51" fillId="0" borderId="21" xfId="80" applyNumberFormat="1" applyFont="1" applyBorder="1" applyAlignment="1">
      <alignment horizontal="center" vertical="center" wrapText="1"/>
    </xf>
    <xf numFmtId="179" fontId="51" fillId="0" borderId="12" xfId="33" applyNumberFormat="1" applyFont="1" applyBorder="1" applyAlignment="1">
      <alignment horizontal="center" vertical="center" wrapText="1"/>
    </xf>
    <xf numFmtId="179" fontId="51" fillId="0" borderId="12" xfId="33" applyNumberFormat="1" applyFont="1" applyBorder="1" applyAlignment="1">
      <alignment horizontal="center" vertical="center"/>
    </xf>
    <xf numFmtId="179" fontId="51" fillId="0" borderId="15" xfId="33" applyNumberFormat="1" applyFont="1" applyBorder="1" applyAlignment="1">
      <alignment horizontal="center" vertical="center" wrapText="1"/>
    </xf>
    <xf numFmtId="179" fontId="51" fillId="0" borderId="15" xfId="33" applyNumberFormat="1" applyFont="1" applyBorder="1" applyAlignment="1">
      <alignment horizontal="center" vertical="center"/>
    </xf>
    <xf numFmtId="178" fontId="51" fillId="0" borderId="22" xfId="41" applyNumberFormat="1" applyFont="1" applyBorder="1" applyAlignment="1">
      <alignment horizontal="center" vertical="center" wrapText="1"/>
      <protection/>
    </xf>
    <xf numFmtId="179" fontId="51" fillId="0" borderId="17" xfId="33" applyNumberFormat="1" applyFont="1" applyBorder="1" applyAlignment="1">
      <alignment horizontal="center" vertical="center" wrapText="1"/>
    </xf>
    <xf numFmtId="179" fontId="51" fillId="0" borderId="17" xfId="33" applyNumberFormat="1" applyFont="1" applyBorder="1" applyAlignment="1">
      <alignment horizontal="center" vertical="center"/>
    </xf>
    <xf numFmtId="178" fontId="51" fillId="0" borderId="13" xfId="41" applyNumberFormat="1" applyFont="1" applyBorder="1" applyAlignment="1">
      <alignment horizontal="left" vertical="center" wrapText="1"/>
      <protection/>
    </xf>
    <xf numFmtId="178" fontId="51" fillId="0" borderId="0" xfId="41" applyNumberFormat="1" applyFont="1" applyBorder="1" applyAlignment="1">
      <alignment horizontal="left" vertical="center" wrapText="1"/>
      <protection/>
    </xf>
    <xf numFmtId="180" fontId="0" fillId="0" borderId="0" xfId="41" applyNumberFormat="1" applyFont="1" applyAlignment="1">
      <alignment horizontal="center" vertical="center" wrapText="1"/>
      <protection/>
    </xf>
    <xf numFmtId="178" fontId="0" fillId="0" borderId="0" xfId="41" applyNumberFormat="1" applyFont="1" applyAlignment="1">
      <alignment horizontal="center" vertical="center" wrapText="1"/>
      <protection/>
    </xf>
    <xf numFmtId="179" fontId="0" fillId="0" borderId="0" xfId="41" applyNumberFormat="1" applyFont="1" applyAlignment="1">
      <alignment horizontal="center" vertical="center" wrapText="1"/>
      <protection/>
    </xf>
    <xf numFmtId="179" fontId="0" fillId="0" borderId="0" xfId="41" applyNumberFormat="1" applyFont="1" applyAlignment="1">
      <alignment horizontal="center" vertical="center"/>
      <protection/>
    </xf>
    <xf numFmtId="179" fontId="5" fillId="0" borderId="0" xfId="41" applyNumberFormat="1" applyFont="1" applyAlignment="1">
      <alignment horizontal="left" vertical="center"/>
      <protection/>
    </xf>
    <xf numFmtId="178" fontId="52" fillId="0" borderId="21" xfId="41" applyNumberFormat="1" applyFont="1" applyBorder="1" applyAlignment="1">
      <alignment horizontal="left" vertical="center" wrapText="1"/>
      <protection/>
    </xf>
    <xf numFmtId="178" fontId="52" fillId="0" borderId="12" xfId="41" applyNumberFormat="1" applyFont="1" applyBorder="1" applyAlignment="1">
      <alignment horizontal="center" vertical="center" wrapText="1"/>
      <protection/>
    </xf>
    <xf numFmtId="178" fontId="52" fillId="0" borderId="21" xfId="41" applyNumberFormat="1" applyFont="1" applyBorder="1" applyAlignment="1">
      <alignment horizontal="center" vertical="center" wrapText="1"/>
      <protection/>
    </xf>
    <xf numFmtId="178" fontId="52" fillId="0" borderId="22" xfId="41" applyNumberFormat="1" applyFont="1" applyBorder="1" applyAlignment="1">
      <alignment horizontal="center" vertical="center" wrapText="1"/>
      <protection/>
    </xf>
    <xf numFmtId="178" fontId="52" fillId="0" borderId="22" xfId="41" applyNumberFormat="1" applyFont="1" applyBorder="1" applyAlignment="1">
      <alignment horizontal="left" vertical="center" wrapText="1" indent="1"/>
      <protection/>
    </xf>
    <xf numFmtId="178" fontId="52" fillId="0" borderId="22" xfId="41" applyNumberFormat="1" applyFont="1" applyBorder="1" applyAlignment="1">
      <alignment horizontal="justify" vertical="center" wrapText="1"/>
      <protection/>
    </xf>
    <xf numFmtId="178" fontId="51" fillId="0" borderId="22" xfId="41" applyNumberFormat="1" applyFont="1" applyBorder="1" applyAlignment="1">
      <alignment horizontal="justify" vertical="center" wrapText="1"/>
      <protection/>
    </xf>
    <xf numFmtId="178" fontId="51" fillId="0" borderId="22" xfId="41" applyNumberFormat="1" applyFont="1" applyBorder="1" applyAlignment="1">
      <alignment vertical="center"/>
      <protection/>
    </xf>
    <xf numFmtId="178" fontId="51" fillId="0" borderId="22" xfId="41" applyNumberFormat="1" applyFont="1" applyBorder="1" applyAlignment="1">
      <alignment horizontal="center" vertical="center"/>
      <protection/>
    </xf>
    <xf numFmtId="178" fontId="51" fillId="0" borderId="23" xfId="41" applyNumberFormat="1" applyFont="1" applyBorder="1" applyAlignment="1">
      <alignment vertical="center"/>
      <protection/>
    </xf>
    <xf numFmtId="178" fontId="51" fillId="0" borderId="23" xfId="41" applyNumberFormat="1" applyFont="1" applyBorder="1" applyAlignment="1">
      <alignment horizontal="center" vertical="center"/>
      <protection/>
    </xf>
    <xf numFmtId="180" fontId="0" fillId="0" borderId="0" xfId="41" applyNumberFormat="1" applyFont="1" applyAlignment="1">
      <alignment horizontal="center" vertical="center"/>
      <protection/>
    </xf>
    <xf numFmtId="179" fontId="0" fillId="0" borderId="0" xfId="41" applyNumberFormat="1" applyFont="1" applyAlignment="1">
      <alignment horizontal="center" vertical="center"/>
      <protection/>
    </xf>
    <xf numFmtId="0" fontId="3" fillId="0" borderId="0" xfId="41" applyFont="1" applyBorder="1" applyAlignment="1">
      <alignment vertical="center"/>
      <protection/>
    </xf>
    <xf numFmtId="0" fontId="3" fillId="0" borderId="0" xfId="41" applyFont="1" applyBorder="1" applyAlignment="1">
      <alignment vertical="center" wrapText="1"/>
      <protection/>
    </xf>
    <xf numFmtId="0" fontId="27" fillId="0" borderId="0" xfId="0" applyFont="1" applyFill="1" applyBorder="1" applyAlignment="1" applyProtection="1">
      <alignment vertical="center" wrapText="1"/>
      <protection locked="0"/>
    </xf>
    <xf numFmtId="178" fontId="51" fillId="0" borderId="12" xfId="41" applyNumberFormat="1" applyFont="1" applyBorder="1" applyAlignment="1">
      <alignment horizontal="left" vertical="center" wrapText="1"/>
      <protection/>
    </xf>
    <xf numFmtId="178" fontId="52" fillId="0" borderId="15" xfId="41" applyNumberFormat="1" applyFont="1" applyBorder="1" applyAlignment="1">
      <alignment horizontal="left" vertical="center" wrapText="1" indent="3"/>
      <protection/>
    </xf>
    <xf numFmtId="178" fontId="51" fillId="0" borderId="15" xfId="41" applyNumberFormat="1" applyFont="1" applyBorder="1" applyAlignment="1">
      <alignment horizontal="left" vertical="center" wrapText="1" indent="3"/>
      <protection/>
    </xf>
    <xf numFmtId="178" fontId="52" fillId="0" borderId="15" xfId="41" applyNumberFormat="1" applyFont="1" applyBorder="1" applyAlignment="1">
      <alignment vertical="center" wrapText="1"/>
      <protection/>
    </xf>
    <xf numFmtId="178" fontId="51" fillId="0" borderId="0" xfId="41" applyNumberFormat="1" applyFont="1" applyAlignment="1">
      <alignment horizontal="center" vertical="center"/>
      <protection/>
    </xf>
    <xf numFmtId="178" fontId="52" fillId="0" borderId="23" xfId="41" applyNumberFormat="1" applyFont="1" applyBorder="1" applyAlignment="1">
      <alignment vertical="center" wrapText="1"/>
      <protection/>
    </xf>
    <xf numFmtId="178" fontId="51" fillId="0" borderId="23" xfId="80" applyNumberFormat="1" applyFont="1" applyBorder="1" applyAlignment="1">
      <alignment horizontal="center" vertical="center" wrapText="1"/>
    </xf>
    <xf numFmtId="178" fontId="51" fillId="0" borderId="22" xfId="41" applyNumberFormat="1" applyFont="1" applyBorder="1" applyAlignment="1">
      <alignment vertical="center" wrapText="1"/>
      <protection/>
    </xf>
    <xf numFmtId="178" fontId="52" fillId="0" borderId="22" xfId="41" applyNumberFormat="1" applyFont="1" applyBorder="1" applyAlignment="1">
      <alignment vertical="center" wrapText="1"/>
      <protection/>
    </xf>
    <xf numFmtId="0" fontId="51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179" fontId="3" fillId="0" borderId="19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5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184" fontId="3" fillId="0" borderId="16" xfId="0" applyNumberFormat="1" applyFont="1" applyFill="1" applyBorder="1" applyAlignment="1" applyProtection="1">
      <alignment horizontal="right" vertical="center"/>
      <protection/>
    </xf>
    <xf numFmtId="179" fontId="3" fillId="0" borderId="16" xfId="0" applyNumberFormat="1" applyFont="1" applyFill="1" applyBorder="1" applyAlignment="1" applyProtection="1">
      <alignment horizontal="right" vertical="center"/>
      <protection locked="0"/>
    </xf>
    <xf numFmtId="3" fontId="3" fillId="0" borderId="22" xfId="0" applyNumberFormat="1" applyFont="1" applyFill="1" applyBorder="1" applyAlignment="1" applyProtection="1">
      <alignment vertical="center" shrinkToFit="1"/>
      <protection locked="0"/>
    </xf>
    <xf numFmtId="0" fontId="3" fillId="0" borderId="22" xfId="0" applyFont="1" applyFill="1" applyBorder="1" applyAlignment="1" applyProtection="1">
      <alignment vertical="center" shrinkToFit="1"/>
      <protection locked="0"/>
    </xf>
    <xf numFmtId="0" fontId="3" fillId="0" borderId="15" xfId="0" applyFont="1" applyFill="1" applyBorder="1" applyAlignment="1" applyProtection="1">
      <alignment horizontal="left" vertical="center" indent="1" shrinkToFit="1"/>
      <protection locked="0"/>
    </xf>
    <xf numFmtId="0" fontId="3" fillId="0" borderId="15" xfId="0" applyFont="1" applyFill="1" applyBorder="1" applyAlignment="1" applyProtection="1">
      <alignment horizontal="left" vertical="center" shrinkToFit="1"/>
      <protection locked="0"/>
    </xf>
    <xf numFmtId="0" fontId="3" fillId="0" borderId="15" xfId="0" applyFont="1" applyFill="1" applyBorder="1" applyAlignment="1" applyProtection="1">
      <alignment horizontal="left" shrinkToFit="1"/>
      <protection locked="0"/>
    </xf>
    <xf numFmtId="0" fontId="16" fillId="0" borderId="15" xfId="0" applyFont="1" applyFill="1" applyBorder="1" applyAlignment="1" applyProtection="1">
      <alignment horizontal="left" vertical="center" wrapText="1"/>
      <protection locked="0"/>
    </xf>
    <xf numFmtId="184" fontId="3" fillId="0" borderId="15" xfId="0" applyNumberFormat="1" applyFont="1" applyFill="1" applyBorder="1" applyAlignment="1" applyProtection="1">
      <alignment horizontal="right" vertical="center"/>
      <protection/>
    </xf>
    <xf numFmtId="184" fontId="3" fillId="0" borderId="22" xfId="0" applyNumberFormat="1" applyFont="1" applyFill="1" applyBorder="1" applyAlignment="1" applyProtection="1">
      <alignment vertical="center"/>
      <protection/>
    </xf>
    <xf numFmtId="184" fontId="3" fillId="0" borderId="15" xfId="0" applyNumberFormat="1" applyFont="1" applyFill="1" applyBorder="1" applyAlignment="1" applyProtection="1">
      <alignment vertical="center"/>
      <protection/>
    </xf>
    <xf numFmtId="184" fontId="3" fillId="0" borderId="16" xfId="0" applyNumberFormat="1" applyFont="1" applyFill="1" applyBorder="1" applyAlignment="1" applyProtection="1">
      <alignment vertical="center"/>
      <protection/>
    </xf>
    <xf numFmtId="181" fontId="16" fillId="0" borderId="15" xfId="0" applyNumberFormat="1" applyFont="1" applyFill="1" applyBorder="1" applyAlignment="1" applyProtection="1">
      <alignment horizontal="left" vertical="center" wrapText="1"/>
      <protection locked="0"/>
    </xf>
    <xf numFmtId="178" fontId="17" fillId="0" borderId="15" xfId="0" applyNumberFormat="1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1" fontId="3" fillId="0" borderId="10" xfId="76" applyNumberFormat="1" applyFont="1" applyBorder="1" applyAlignment="1">
      <alignment horizontal="center" vertical="center" wrapText="1"/>
      <protection/>
    </xf>
    <xf numFmtId="179" fontId="16" fillId="0" borderId="15" xfId="0" applyNumberFormat="1" applyFont="1" applyFill="1" applyBorder="1" applyAlignment="1" applyProtection="1">
      <alignment vertical="center" wrapText="1"/>
      <protection locked="0"/>
    </xf>
    <xf numFmtId="179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179" fontId="1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17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79" fontId="3" fillId="0" borderId="17" xfId="0" applyNumberFormat="1" applyFont="1" applyFill="1" applyBorder="1" applyAlignment="1" applyProtection="1">
      <alignment vertical="center" shrinkToFit="1"/>
      <protection locked="0"/>
    </xf>
    <xf numFmtId="179" fontId="3" fillId="0" borderId="17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5" fillId="0" borderId="0" xfId="0" applyFont="1" applyFill="1" applyAlignment="1" applyProtection="1">
      <alignment/>
      <protection locked="0"/>
    </xf>
    <xf numFmtId="179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6" xfId="0" applyFont="1" applyFill="1" applyBorder="1" applyAlignment="1" applyProtection="1">
      <alignment horizontal="left" vertical="center" wrapText="1"/>
      <protection locked="0"/>
    </xf>
    <xf numFmtId="0" fontId="17" fillId="0" borderId="16" xfId="0" applyFont="1" applyFill="1" applyBorder="1" applyAlignment="1" applyProtection="1">
      <alignment horizontal="right" vertical="center" wrapText="1"/>
      <protection locked="0"/>
    </xf>
    <xf numFmtId="0" fontId="16" fillId="0" borderId="16" xfId="0" applyFont="1" applyFill="1" applyBorder="1" applyAlignment="1" applyProtection="1">
      <alignment horizontal="right" vertical="center" wrapText="1"/>
      <protection locked="0"/>
    </xf>
    <xf numFmtId="0" fontId="17" fillId="0" borderId="16" xfId="0" applyFont="1" applyFill="1" applyBorder="1" applyAlignment="1" applyProtection="1">
      <alignment horizontal="left" vertical="center" wrapText="1"/>
      <protection locked="0"/>
    </xf>
    <xf numFmtId="179" fontId="3" fillId="0" borderId="22" xfId="0" applyNumberFormat="1" applyFont="1" applyFill="1" applyBorder="1" applyAlignment="1" applyProtection="1">
      <alignment vertical="center" wrapText="1"/>
      <protection locked="0"/>
    </xf>
    <xf numFmtId="179" fontId="3" fillId="0" borderId="16" xfId="0" applyNumberFormat="1" applyFont="1" applyFill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 applyProtection="1">
      <alignment horizontal="right" vertical="center" shrinkToFit="1"/>
      <protection locked="0"/>
    </xf>
    <xf numFmtId="0" fontId="3" fillId="0" borderId="17" xfId="0" applyFont="1" applyFill="1" applyBorder="1" applyAlignment="1" applyProtection="1">
      <alignment horizontal="right" vertical="center" shrinkToFit="1"/>
      <protection locked="0"/>
    </xf>
    <xf numFmtId="179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178" fontId="1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17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179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181" fontId="3" fillId="0" borderId="22" xfId="0" applyNumberFormat="1" applyFont="1" applyFill="1" applyBorder="1" applyAlignment="1" applyProtection="1">
      <alignment horizontal="right" vertical="center"/>
      <protection locked="0"/>
    </xf>
    <xf numFmtId="17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81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/>
    </xf>
    <xf numFmtId="0" fontId="3" fillId="0" borderId="12" xfId="76" applyFont="1" applyFill="1" applyBorder="1" applyAlignment="1">
      <alignment horizontal="center" vertical="center" wrapText="1"/>
      <protection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7" xfId="76" applyFont="1" applyFill="1" applyBorder="1" applyAlignment="1">
      <alignment horizontal="center" vertical="center" wrapText="1"/>
      <protection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right" vertical="center"/>
    </xf>
    <xf numFmtId="182" fontId="3" fillId="0" borderId="21" xfId="0" applyNumberFormat="1" applyFont="1" applyFill="1" applyBorder="1" applyAlignment="1">
      <alignment horizontal="right" vertical="center"/>
    </xf>
    <xf numFmtId="182" fontId="3" fillId="0" borderId="15" xfId="0" applyNumberFormat="1" applyFont="1" applyFill="1" applyBorder="1" applyAlignment="1">
      <alignment horizontal="right" vertical="center"/>
    </xf>
    <xf numFmtId="1" fontId="3" fillId="0" borderId="22" xfId="0" applyNumberFormat="1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horizontal="right" vertical="center"/>
    </xf>
    <xf numFmtId="182" fontId="3" fillId="0" borderId="22" xfId="0" applyNumberFormat="1" applyFont="1" applyFill="1" applyBorder="1" applyAlignment="1">
      <alignment horizontal="right" vertical="center"/>
    </xf>
    <xf numFmtId="1" fontId="17" fillId="0" borderId="16" xfId="0" applyNumberFormat="1" applyFont="1" applyFill="1" applyBorder="1" applyAlignment="1">
      <alignment vertical="center" wrapText="1"/>
    </xf>
    <xf numFmtId="1" fontId="3" fillId="0" borderId="15" xfId="0" applyNumberFormat="1" applyFont="1" applyFill="1" applyBorder="1" applyAlignment="1" applyProtection="1">
      <alignment vertical="center"/>
      <protection locked="0"/>
    </xf>
    <xf numFmtId="1" fontId="3" fillId="0" borderId="15" xfId="0" applyNumberFormat="1" applyFont="1" applyFill="1" applyBorder="1" applyAlignment="1" applyProtection="1">
      <alignment horizontal="left" vertical="center" indent="1"/>
      <protection locked="0"/>
    </xf>
    <xf numFmtId="1" fontId="3" fillId="0" borderId="15" xfId="0" applyNumberFormat="1" applyFont="1" applyFill="1" applyBorder="1" applyAlignment="1">
      <alignment horizontal="left" vertical="center" indent="2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182" fontId="3" fillId="0" borderId="17" xfId="0" applyNumberFormat="1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right" vertical="center"/>
    </xf>
    <xf numFmtId="179" fontId="3" fillId="0" borderId="21" xfId="0" applyNumberFormat="1" applyFont="1" applyFill="1" applyBorder="1" applyAlignment="1">
      <alignment horizontal="right" vertical="center"/>
    </xf>
    <xf numFmtId="0" fontId="17" fillId="0" borderId="15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indent="1"/>
    </xf>
    <xf numFmtId="0" fontId="3" fillId="0" borderId="22" xfId="0" applyFont="1" applyBorder="1" applyAlignment="1">
      <alignment horizontal="right" vertical="center"/>
    </xf>
    <xf numFmtId="179" fontId="3" fillId="0" borderId="15" xfId="0" applyNumberFormat="1" applyFont="1" applyFill="1" applyBorder="1" applyAlignment="1">
      <alignment horizontal="right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15" xfId="0" applyFont="1" applyFill="1" applyBorder="1" applyAlignment="1">
      <alignment/>
    </xf>
    <xf numFmtId="182" fontId="3" fillId="0" borderId="22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2" fontId="3" fillId="0" borderId="16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1" fontId="3" fillId="0" borderId="15" xfId="76" applyNumberFormat="1" applyFont="1" applyFill="1" applyBorder="1" applyAlignment="1">
      <alignment horizontal="left" vertical="center" indent="1"/>
      <protection/>
    </xf>
    <xf numFmtId="0" fontId="3" fillId="0" borderId="15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Font="1" applyFill="1" applyAlignment="1">
      <alignment/>
    </xf>
    <xf numFmtId="185" fontId="3" fillId="0" borderId="0" xfId="76" applyNumberFormat="1" applyFont="1" applyFill="1" applyBorder="1" applyAlignment="1">
      <alignment horizontal="center" vertical="center" wrapText="1"/>
      <protection/>
    </xf>
    <xf numFmtId="185" fontId="3" fillId="0" borderId="0" xfId="76" applyNumberFormat="1" applyFont="1" applyFill="1" applyBorder="1" applyAlignment="1">
      <alignment horizontal="right" vertical="center" wrapText="1"/>
      <protection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vertical="center"/>
    </xf>
    <xf numFmtId="1" fontId="17" fillId="0" borderId="14" xfId="0" applyNumberFormat="1" applyFont="1" applyFill="1" applyBorder="1" applyAlignment="1">
      <alignment vertical="center" wrapText="1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17" xfId="76" applyNumberFormat="1" applyFont="1" applyFill="1" applyBorder="1" applyAlignment="1">
      <alignment horizontal="right" vertical="center"/>
      <protection/>
    </xf>
    <xf numFmtId="1" fontId="3" fillId="0" borderId="18" xfId="76" applyNumberFormat="1" applyFont="1" applyFill="1" applyBorder="1" applyAlignment="1">
      <alignment horizontal="right" vertical="center"/>
      <protection/>
    </xf>
    <xf numFmtId="0" fontId="17" fillId="0" borderId="19" xfId="0" applyFont="1" applyFill="1" applyBorder="1" applyAlignment="1">
      <alignment vertical="center"/>
    </xf>
    <xf numFmtId="0" fontId="3" fillId="0" borderId="15" xfId="76" applyFont="1" applyFill="1" applyBorder="1" applyAlignment="1">
      <alignment horizontal="left" vertical="center"/>
      <protection/>
    </xf>
    <xf numFmtId="1" fontId="3" fillId="0" borderId="14" xfId="0" applyNumberFormat="1" applyFont="1" applyFill="1" applyBorder="1" applyAlignment="1">
      <alignment horizontal="right" vertical="center"/>
    </xf>
    <xf numFmtId="185" fontId="3" fillId="0" borderId="15" xfId="76" applyNumberFormat="1" applyFont="1" applyFill="1" applyBorder="1" applyAlignment="1">
      <alignment horizontal="right" vertical="center" wrapText="1"/>
      <protection/>
    </xf>
    <xf numFmtId="185" fontId="3" fillId="0" borderId="16" xfId="76" applyNumberFormat="1" applyFont="1" applyFill="1" applyBorder="1" applyAlignment="1">
      <alignment horizontal="right" vertical="center" wrapText="1"/>
      <protection/>
    </xf>
    <xf numFmtId="0" fontId="17" fillId="0" borderId="15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 wrapText="1"/>
    </xf>
    <xf numFmtId="1" fontId="3" fillId="0" borderId="16" xfId="76" applyNumberFormat="1" applyFont="1" applyFill="1" applyBorder="1" applyAlignment="1">
      <alignment horizontal="right" vertical="center"/>
      <protection/>
    </xf>
    <xf numFmtId="1" fontId="3" fillId="0" borderId="23" xfId="76" applyNumberFormat="1" applyFont="1" applyFill="1" applyBorder="1" applyAlignment="1">
      <alignment horizontal="right" vertical="center"/>
      <protection/>
    </xf>
    <xf numFmtId="185" fontId="3" fillId="0" borderId="17" xfId="76" applyNumberFormat="1" applyFont="1" applyFill="1" applyBorder="1" applyAlignment="1">
      <alignment horizontal="right" vertical="center" wrapText="1"/>
      <protection/>
    </xf>
    <xf numFmtId="0" fontId="17" fillId="0" borderId="17" xfId="0" applyFont="1" applyFill="1" applyBorder="1" applyAlignment="1">
      <alignment vertical="center"/>
    </xf>
    <xf numFmtId="1" fontId="3" fillId="0" borderId="0" xfId="0" applyNumberFormat="1" applyFont="1" applyFill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百分比 2 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2003年省分专款" xfId="40"/>
    <cellStyle name="常规_表262014年山东省社会保险基金预算收支草案表（1月3日）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普通_laroux" xfId="50"/>
    <cellStyle name="20% - 强调文字颜色 5" xfId="51"/>
    <cellStyle name="强调文字颜色 1" xfId="52"/>
    <cellStyle name="常规_社保处（2015年社会保险基金预算）(2)" xfId="53"/>
    <cellStyle name="20% - 强调文字颜色 1" xfId="54"/>
    <cellStyle name="40% - 强调文字颜色 1" xfId="55"/>
    <cellStyle name="20% - 强调文字颜色 2" xfId="56"/>
    <cellStyle name="千位[0]_d20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0,0&#13;&#10;NA&#13;&#10;" xfId="69"/>
    <cellStyle name="60% - 强调文字颜色 6" xfId="70"/>
    <cellStyle name="常规 100" xfId="71"/>
    <cellStyle name="常规 11 3 2" xfId="72"/>
    <cellStyle name="常规 2" xfId="73"/>
    <cellStyle name="常规_01省级" xfId="74"/>
    <cellStyle name="常规_11月小本" xfId="75"/>
    <cellStyle name="常规_2002年地方预算表市级" xfId="76"/>
    <cellStyle name="常规_2009年初两会支出调整后（国库处）" xfId="77"/>
    <cellStyle name="常规_2012年国有资本经营预算报表（只含山东省本级报省人代会审议2）" xfId="78"/>
    <cellStyle name="千位_d20" xfId="79"/>
    <cellStyle name="千位分隔[0] 2 2" xfId="80"/>
    <cellStyle name="未定义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.v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M25"/>
  <sheetViews>
    <sheetView view="pageBreakPreview" zoomScale="85" zoomScaleSheetLayoutView="85" workbookViewId="0" topLeftCell="A1">
      <selection activeCell="A26" sqref="A26:IV26"/>
    </sheetView>
  </sheetViews>
  <sheetFormatPr defaultColWidth="9.00390625" defaultRowHeight="14.25"/>
  <cols>
    <col min="1" max="1" width="24.125" style="459" customWidth="1"/>
    <col min="2" max="2" width="7.25390625" style="460" customWidth="1"/>
    <col min="3" max="3" width="7.375" style="461" customWidth="1"/>
    <col min="4" max="4" width="8.50390625" style="461" customWidth="1"/>
    <col min="5" max="5" width="8.00390625" style="461" customWidth="1"/>
    <col min="6" max="6" width="9.00390625" style="461" customWidth="1"/>
    <col min="7" max="7" width="7.75390625" style="461" customWidth="1"/>
    <col min="8" max="8" width="9.375" style="461" customWidth="1"/>
    <col min="9" max="9" width="9.875" style="461" customWidth="1"/>
    <col min="10" max="10" width="13.00390625" style="459" customWidth="1"/>
    <col min="11" max="11" width="11.875" style="459" customWidth="1"/>
    <col min="12" max="12" width="34.25390625" style="459" customWidth="1"/>
    <col min="13" max="16384" width="9.00390625" style="459" customWidth="1"/>
  </cols>
  <sheetData>
    <row r="1" spans="1:4" ht="17.25" customHeight="1">
      <c r="A1" s="440" t="s">
        <v>190</v>
      </c>
      <c r="B1" s="462"/>
      <c r="C1" s="463"/>
      <c r="D1" s="463"/>
    </row>
    <row r="2" spans="1:10" ht="18" customHeight="1">
      <c r="A2" s="441" t="s">
        <v>191</v>
      </c>
      <c r="B2" s="441"/>
      <c r="C2" s="441"/>
      <c r="D2" s="441"/>
      <c r="E2" s="441"/>
      <c r="F2" s="441"/>
      <c r="G2" s="441"/>
      <c r="H2" s="441"/>
      <c r="I2" s="478"/>
      <c r="J2" s="478"/>
    </row>
    <row r="3" spans="1:9" ht="21" customHeight="1">
      <c r="A3" s="464"/>
      <c r="B3" s="465"/>
      <c r="C3" s="466"/>
      <c r="D3" s="466"/>
      <c r="E3" s="467"/>
      <c r="F3" s="467"/>
      <c r="G3" s="467"/>
      <c r="H3" s="468" t="s">
        <v>3</v>
      </c>
      <c r="I3" s="467"/>
    </row>
    <row r="4" spans="1:8" ht="37.5" customHeight="1">
      <c r="A4" s="217" t="s">
        <v>136</v>
      </c>
      <c r="B4" s="190" t="s">
        <v>5</v>
      </c>
      <c r="C4" s="190" t="s">
        <v>161</v>
      </c>
      <c r="D4" s="190" t="s">
        <v>7</v>
      </c>
      <c r="E4" s="190" t="s">
        <v>137</v>
      </c>
      <c r="F4" s="469" t="s">
        <v>138</v>
      </c>
      <c r="G4" s="469" t="s">
        <v>162</v>
      </c>
      <c r="H4" s="190" t="s">
        <v>139</v>
      </c>
    </row>
    <row r="5" spans="1:13" ht="27.75" customHeight="1">
      <c r="A5" s="191" t="s">
        <v>140</v>
      </c>
      <c r="B5" s="192">
        <v>2385</v>
      </c>
      <c r="C5" s="192">
        <v>800</v>
      </c>
      <c r="D5" s="192">
        <v>437</v>
      </c>
      <c r="E5" s="192">
        <v>423</v>
      </c>
      <c r="F5" s="203">
        <f>IF(D5=0,,E5/D5*100)</f>
        <v>96.79633867276888</v>
      </c>
      <c r="G5" s="300">
        <f>(E5/B5-1)*100</f>
        <v>-82.26415094339623</v>
      </c>
      <c r="H5" s="470" t="s">
        <v>141</v>
      </c>
      <c r="L5" s="479"/>
      <c r="M5" s="479"/>
    </row>
    <row r="6" spans="1:13" ht="27.75" customHeight="1">
      <c r="A6" s="191" t="s">
        <v>142</v>
      </c>
      <c r="B6" s="192">
        <v>4859</v>
      </c>
      <c r="C6" s="192">
        <v>5000</v>
      </c>
      <c r="D6" s="192">
        <v>1250</v>
      </c>
      <c r="E6" s="192">
        <v>1212</v>
      </c>
      <c r="F6" s="203">
        <f aca="true" t="shared" si="0" ref="F6:F15">IF(D6=0,,E6/D6*100)</f>
        <v>96.96000000000001</v>
      </c>
      <c r="G6" s="300">
        <f>(E6/B6-1)*100</f>
        <v>-75.05659600740893</v>
      </c>
      <c r="H6" s="470" t="s">
        <v>141</v>
      </c>
      <c r="L6" s="479"/>
      <c r="M6" s="479"/>
    </row>
    <row r="7" spans="1:13" ht="27.75" customHeight="1">
      <c r="A7" s="191" t="s">
        <v>143</v>
      </c>
      <c r="B7" s="192">
        <v>5544</v>
      </c>
      <c r="C7" s="192">
        <v>4000</v>
      </c>
      <c r="D7" s="192">
        <v>4000</v>
      </c>
      <c r="E7" s="192">
        <v>4684</v>
      </c>
      <c r="F7" s="203">
        <f t="shared" si="0"/>
        <v>117.10000000000001</v>
      </c>
      <c r="G7" s="300">
        <f>(E7/B7-1)*100</f>
        <v>-15.512265512265511</v>
      </c>
      <c r="H7" s="197"/>
      <c r="L7" s="479"/>
      <c r="M7" s="479"/>
    </row>
    <row r="8" spans="1:13" ht="27.75" customHeight="1">
      <c r="A8" s="191" t="s">
        <v>144</v>
      </c>
      <c r="B8" s="192">
        <v>3031</v>
      </c>
      <c r="C8" s="192">
        <v>4000</v>
      </c>
      <c r="D8" s="192">
        <v>4000</v>
      </c>
      <c r="E8" s="192">
        <v>4143</v>
      </c>
      <c r="F8" s="203">
        <f t="shared" si="0"/>
        <v>103.57499999999999</v>
      </c>
      <c r="G8" s="300">
        <f>(E8/B8-1)*100</f>
        <v>36.68756186077202</v>
      </c>
      <c r="H8" s="197"/>
      <c r="L8" s="479"/>
      <c r="M8" s="479"/>
    </row>
    <row r="9" spans="1:13" ht="27.75" customHeight="1">
      <c r="A9" s="191" t="s">
        <v>145</v>
      </c>
      <c r="B9" s="192">
        <v>75195</v>
      </c>
      <c r="C9" s="192">
        <v>69600</v>
      </c>
      <c r="D9" s="192">
        <v>101600</v>
      </c>
      <c r="E9" s="192">
        <v>101700</v>
      </c>
      <c r="F9" s="203">
        <f t="shared" si="0"/>
        <v>100.0984251968504</v>
      </c>
      <c r="G9" s="300">
        <f>(E9/B9-1)*100</f>
        <v>35.24835427887491</v>
      </c>
      <c r="H9" s="193"/>
      <c r="L9" s="479"/>
      <c r="M9" s="479"/>
    </row>
    <row r="10" spans="1:13" ht="27.75" customHeight="1">
      <c r="A10" s="191" t="s">
        <v>146</v>
      </c>
      <c r="B10" s="192">
        <v>60</v>
      </c>
      <c r="C10" s="192"/>
      <c r="D10" s="192"/>
      <c r="E10" s="192"/>
      <c r="F10" s="203"/>
      <c r="G10" s="300"/>
      <c r="H10" s="193"/>
      <c r="L10" s="479"/>
      <c r="M10" s="479"/>
    </row>
    <row r="11" spans="1:13" ht="27.75" customHeight="1">
      <c r="A11" s="191" t="s">
        <v>147</v>
      </c>
      <c r="B11" s="192">
        <v>7636</v>
      </c>
      <c r="C11" s="192">
        <v>6300</v>
      </c>
      <c r="D11" s="192">
        <v>6300</v>
      </c>
      <c r="E11" s="192">
        <v>8179</v>
      </c>
      <c r="F11" s="203">
        <f t="shared" si="0"/>
        <v>129.8253968253968</v>
      </c>
      <c r="G11" s="300">
        <f>(E11/B11-1)*100</f>
        <v>7.11105290728129</v>
      </c>
      <c r="H11" s="193"/>
      <c r="L11" s="479"/>
      <c r="M11" s="479"/>
    </row>
    <row r="12" spans="1:13" ht="27.75" customHeight="1">
      <c r="A12" s="191" t="s">
        <v>192</v>
      </c>
      <c r="B12" s="192">
        <v>3231</v>
      </c>
      <c r="C12" s="192">
        <v>2535</v>
      </c>
      <c r="D12" s="192">
        <v>2535</v>
      </c>
      <c r="E12" s="192">
        <v>2573</v>
      </c>
      <c r="F12" s="203"/>
      <c r="G12" s="300"/>
      <c r="H12" s="471"/>
      <c r="L12" s="479"/>
      <c r="M12" s="479"/>
    </row>
    <row r="13" spans="1:13" ht="27.75" customHeight="1">
      <c r="A13" s="191" t="s">
        <v>193</v>
      </c>
      <c r="B13" s="192">
        <v>84</v>
      </c>
      <c r="C13" s="192"/>
      <c r="D13" s="192"/>
      <c r="E13" s="192"/>
      <c r="F13" s="203"/>
      <c r="G13" s="300"/>
      <c r="H13" s="472"/>
      <c r="L13" s="479"/>
      <c r="M13" s="479"/>
    </row>
    <row r="14" spans="1:8" ht="27.75" customHeight="1">
      <c r="A14" s="191"/>
      <c r="B14" s="192"/>
      <c r="C14" s="192"/>
      <c r="D14" s="192"/>
      <c r="E14" s="192"/>
      <c r="F14" s="203"/>
      <c r="G14" s="221"/>
      <c r="H14" s="221"/>
    </row>
    <row r="15" spans="1:8" ht="27.75" customHeight="1">
      <c r="A15" s="220" t="s">
        <v>39</v>
      </c>
      <c r="B15" s="192">
        <f>SUM(B5:B13)</f>
        <v>102025</v>
      </c>
      <c r="C15" s="192">
        <f>SUM(C5:C13)</f>
        <v>92235</v>
      </c>
      <c r="D15" s="192">
        <f>SUM(D5:D13)</f>
        <v>120122</v>
      </c>
      <c r="E15" s="192">
        <f>SUM(E5:E13)</f>
        <v>122914</v>
      </c>
      <c r="F15" s="203">
        <f t="shared" si="0"/>
        <v>102.32430362464828</v>
      </c>
      <c r="G15" s="300">
        <f>(E15/B15-1)*100</f>
        <v>20.474393530997315</v>
      </c>
      <c r="H15" s="451"/>
    </row>
    <row r="16" spans="1:8" ht="27.75" customHeight="1">
      <c r="A16" s="220"/>
      <c r="B16" s="192"/>
      <c r="C16" s="192"/>
      <c r="D16" s="192"/>
      <c r="E16" s="192"/>
      <c r="F16" s="203"/>
      <c r="G16" s="300"/>
      <c r="H16" s="451"/>
    </row>
    <row r="17" spans="1:8" ht="27.75" customHeight="1">
      <c r="A17" s="473"/>
      <c r="B17" s="192"/>
      <c r="C17" s="192"/>
      <c r="D17" s="192"/>
      <c r="E17" s="192"/>
      <c r="F17" s="203"/>
      <c r="G17" s="221"/>
      <c r="H17" s="222"/>
    </row>
    <row r="18" spans="1:8" ht="27.75" customHeight="1">
      <c r="A18" s="192" t="s">
        <v>151</v>
      </c>
      <c r="B18" s="192">
        <f>SUM(B19,B22:B24)</f>
        <v>1171409</v>
      </c>
      <c r="C18" s="192">
        <f>SUM(C19,C22:C24)</f>
        <v>106619</v>
      </c>
      <c r="D18" s="192">
        <f>SUM(D19,D22:D24)</f>
        <v>321619</v>
      </c>
      <c r="E18" s="192">
        <f>SUM(E19,E22:E24)</f>
        <v>320297</v>
      </c>
      <c r="F18" s="203"/>
      <c r="G18" s="300"/>
      <c r="H18" s="198"/>
    </row>
    <row r="19" spans="1:8" ht="27.75" customHeight="1">
      <c r="A19" s="192" t="s">
        <v>152</v>
      </c>
      <c r="B19" s="192">
        <f>SUM(B20:B21)</f>
        <v>8890</v>
      </c>
      <c r="C19" s="192">
        <f>SUM(C20:C21)</f>
        <v>2000</v>
      </c>
      <c r="D19" s="192">
        <f>SUM(D20:D21)</f>
        <v>2000</v>
      </c>
      <c r="E19" s="192">
        <f>SUM(E20:E21)</f>
        <v>678</v>
      </c>
      <c r="F19" s="203"/>
      <c r="G19" s="193"/>
      <c r="H19" s="198"/>
    </row>
    <row r="20" spans="1:8" s="459" customFormat="1" ht="27.75" customHeight="1">
      <c r="A20" s="192" t="s">
        <v>153</v>
      </c>
      <c r="B20" s="192">
        <v>8890</v>
      </c>
      <c r="C20" s="192">
        <v>2000</v>
      </c>
      <c r="D20" s="192">
        <v>2000</v>
      </c>
      <c r="E20" s="192">
        <v>678</v>
      </c>
      <c r="F20" s="203"/>
      <c r="G20" s="193"/>
      <c r="H20" s="456"/>
    </row>
    <row r="21" spans="1:8" ht="27.75" customHeight="1">
      <c r="A21" s="192" t="s">
        <v>194</v>
      </c>
      <c r="B21" s="192"/>
      <c r="C21" s="192"/>
      <c r="D21" s="192"/>
      <c r="E21" s="192"/>
      <c r="F21" s="203"/>
      <c r="G21" s="193"/>
      <c r="H21" s="474"/>
    </row>
    <row r="22" spans="1:8" ht="27.75" customHeight="1">
      <c r="A22" s="192" t="s">
        <v>156</v>
      </c>
      <c r="B22" s="192">
        <v>97219</v>
      </c>
      <c r="C22" s="192">
        <v>65619</v>
      </c>
      <c r="D22" s="192">
        <v>65619</v>
      </c>
      <c r="E22" s="192">
        <v>65619</v>
      </c>
      <c r="F22" s="203"/>
      <c r="G22" s="193"/>
      <c r="H22" s="193"/>
    </row>
    <row r="23" spans="1:8" ht="27.75" customHeight="1">
      <c r="A23" s="192" t="s">
        <v>195</v>
      </c>
      <c r="B23" s="192"/>
      <c r="C23" s="192"/>
      <c r="D23" s="192"/>
      <c r="E23" s="192"/>
      <c r="F23" s="203"/>
      <c r="G23" s="193"/>
      <c r="H23" s="193"/>
    </row>
    <row r="24" spans="1:8" ht="27.75" customHeight="1">
      <c r="A24" s="475" t="s">
        <v>196</v>
      </c>
      <c r="B24" s="192">
        <v>1065300</v>
      </c>
      <c r="C24" s="192">
        <v>39000</v>
      </c>
      <c r="D24" s="192">
        <v>254000</v>
      </c>
      <c r="E24" s="192">
        <v>254000</v>
      </c>
      <c r="F24" s="203"/>
      <c r="G24" s="193"/>
      <c r="H24" s="193"/>
    </row>
    <row r="25" spans="1:8" ht="27.75" customHeight="1">
      <c r="A25" s="226" t="s">
        <v>48</v>
      </c>
      <c r="B25" s="208">
        <f>B18+B15</f>
        <v>1273434</v>
      </c>
      <c r="C25" s="208">
        <f>C18+C15</f>
        <v>198854</v>
      </c>
      <c r="D25" s="208">
        <f>D18+D15</f>
        <v>441741</v>
      </c>
      <c r="E25" s="208">
        <f>E18+E15</f>
        <v>443211</v>
      </c>
      <c r="F25" s="476">
        <f>IF(D25=0,,E25/D25*100)</f>
        <v>100.33277418215651</v>
      </c>
      <c r="G25" s="477">
        <f>(E25/B25-1)*100</f>
        <v>-65.19560495479153</v>
      </c>
      <c r="H25" s="209"/>
    </row>
  </sheetData>
  <sheetProtection/>
  <mergeCells count="1">
    <mergeCell ref="A2:H2"/>
  </mergeCells>
  <printOptions horizontalCentered="1"/>
  <pageMargins left="0.24" right="0.24" top="0.75" bottom="0.9" header="0.31" footer="0.3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H37"/>
  <sheetViews>
    <sheetView view="pageBreakPreview" zoomScaleSheetLayoutView="100" workbookViewId="0" topLeftCell="A1">
      <selection activeCell="A2" sqref="A2:H2"/>
    </sheetView>
  </sheetViews>
  <sheetFormatPr defaultColWidth="9.00390625" defaultRowHeight="14.25"/>
  <cols>
    <col min="1" max="1" width="31.00390625" style="439" customWidth="1"/>
    <col min="2" max="2" width="7.375" style="439" customWidth="1"/>
    <col min="3" max="3" width="8.125" style="439" customWidth="1"/>
    <col min="4" max="4" width="8.75390625" style="439" customWidth="1"/>
    <col min="5" max="5" width="6.875" style="439" customWidth="1"/>
    <col min="6" max="6" width="7.125" style="439" customWidth="1"/>
    <col min="7" max="7" width="6.75390625" style="439" customWidth="1"/>
    <col min="8" max="8" width="12.625" style="439" customWidth="1"/>
    <col min="9" max="16384" width="9.00390625" style="439" customWidth="1"/>
  </cols>
  <sheetData>
    <row r="1" ht="14.25">
      <c r="A1" s="440" t="s">
        <v>197</v>
      </c>
    </row>
    <row r="2" spans="1:8" ht="21">
      <c r="A2" s="441" t="s">
        <v>198</v>
      </c>
      <c r="B2" s="441"/>
      <c r="C2" s="441"/>
      <c r="D2" s="441"/>
      <c r="E2" s="441"/>
      <c r="F2" s="441"/>
      <c r="G2" s="441"/>
      <c r="H2" s="441"/>
    </row>
    <row r="3" ht="18" customHeight="1">
      <c r="H3" s="442" t="s">
        <v>3</v>
      </c>
    </row>
    <row r="4" spans="1:8" ht="35.25" customHeight="1">
      <c r="A4" s="217" t="s">
        <v>136</v>
      </c>
      <c r="B4" s="190" t="s">
        <v>5</v>
      </c>
      <c r="C4" s="190" t="s">
        <v>6</v>
      </c>
      <c r="D4" s="190" t="s">
        <v>7</v>
      </c>
      <c r="E4" s="190" t="s">
        <v>137</v>
      </c>
      <c r="F4" s="234" t="s">
        <v>138</v>
      </c>
      <c r="G4" s="234" t="s">
        <v>162</v>
      </c>
      <c r="H4" s="443" t="s">
        <v>139</v>
      </c>
    </row>
    <row r="5" spans="1:8" ht="19.5" customHeight="1">
      <c r="A5" s="191" t="s">
        <v>163</v>
      </c>
      <c r="B5" s="192">
        <f>SUM(B6:B7)</f>
        <v>55</v>
      </c>
      <c r="C5" s="192">
        <f>SUM(C6:C7)</f>
        <v>0</v>
      </c>
      <c r="D5" s="192">
        <f>SUM(D6:D7)</f>
        <v>0</v>
      </c>
      <c r="E5" s="192">
        <f>SUM(E6:E7)</f>
        <v>15</v>
      </c>
      <c r="F5" s="444"/>
      <c r="G5" s="445">
        <f>(E5/B5-1)*100</f>
        <v>-72.72727272727273</v>
      </c>
      <c r="H5" s="199"/>
    </row>
    <row r="6" spans="1:8" ht="19.5" customHeight="1">
      <c r="A6" s="191" t="s">
        <v>199</v>
      </c>
      <c r="B6" s="192">
        <v>55</v>
      </c>
      <c r="C6" s="192"/>
      <c r="D6" s="192"/>
      <c r="E6" s="192">
        <v>15</v>
      </c>
      <c r="F6" s="444"/>
      <c r="G6" s="445">
        <f>(E6/B6-1)*100</f>
        <v>-72.72727272727273</v>
      </c>
      <c r="H6" s="199"/>
    </row>
    <row r="7" spans="1:8" ht="19.5" customHeight="1">
      <c r="A7" s="191" t="s">
        <v>165</v>
      </c>
      <c r="B7" s="192"/>
      <c r="C7" s="192"/>
      <c r="D7" s="192"/>
      <c r="E7" s="192"/>
      <c r="F7" s="444"/>
      <c r="G7" s="445"/>
      <c r="H7" s="223"/>
    </row>
    <row r="8" spans="1:8" ht="19.5" customHeight="1">
      <c r="A8" s="191" t="s">
        <v>166</v>
      </c>
      <c r="B8" s="192">
        <f>SUM(B9:B13)</f>
        <v>123711</v>
      </c>
      <c r="C8" s="192">
        <f>SUM(C9:C13)</f>
        <v>74984</v>
      </c>
      <c r="D8" s="192">
        <f>SUM(D9:D13)</f>
        <v>128200</v>
      </c>
      <c r="E8" s="192">
        <f>SUM(E9:E13)</f>
        <v>127229</v>
      </c>
      <c r="F8" s="444">
        <f>E8/D8%</f>
        <v>99.24258970358814</v>
      </c>
      <c r="G8" s="445">
        <f>(E8/B8-1)*100</f>
        <v>2.843724486909016</v>
      </c>
      <c r="H8" s="199"/>
    </row>
    <row r="9" spans="1:8" ht="19.5" customHeight="1">
      <c r="A9" s="191" t="s">
        <v>200</v>
      </c>
      <c r="B9" s="192">
        <v>112849</v>
      </c>
      <c r="C9" s="192">
        <v>62984</v>
      </c>
      <c r="D9" s="192">
        <v>117637</v>
      </c>
      <c r="E9" s="192">
        <v>121086</v>
      </c>
      <c r="F9" s="444">
        <f>E9/D9%</f>
        <v>102.93190067750794</v>
      </c>
      <c r="G9" s="445">
        <f>(E9/B9-1)*100</f>
        <v>7.299134241331329</v>
      </c>
      <c r="H9" s="223"/>
    </row>
    <row r="10" spans="1:8" ht="19.5" customHeight="1">
      <c r="A10" s="191" t="s">
        <v>168</v>
      </c>
      <c r="B10" s="192">
        <v>5000</v>
      </c>
      <c r="C10" s="192">
        <v>3000</v>
      </c>
      <c r="D10" s="192">
        <v>1563</v>
      </c>
      <c r="E10" s="192">
        <v>1562</v>
      </c>
      <c r="F10" s="444">
        <f>E10/D10%</f>
        <v>99.9360204734485</v>
      </c>
      <c r="G10" s="445">
        <f>(E10/B10-1)*100</f>
        <v>-68.76</v>
      </c>
      <c r="H10" s="199" t="s">
        <v>201</v>
      </c>
    </row>
    <row r="11" spans="1:8" ht="19.5" customHeight="1">
      <c r="A11" s="191" t="s">
        <v>169</v>
      </c>
      <c r="B11" s="192">
        <v>5000</v>
      </c>
      <c r="C11" s="192">
        <v>4000</v>
      </c>
      <c r="D11" s="192">
        <v>4000</v>
      </c>
      <c r="E11" s="192">
        <v>4000</v>
      </c>
      <c r="F11" s="444">
        <f>E11/D11%</f>
        <v>100</v>
      </c>
      <c r="G11" s="445">
        <f>(E11/B11-1)*100</f>
        <v>-19.999999999999996</v>
      </c>
      <c r="H11" s="199"/>
    </row>
    <row r="12" spans="1:8" ht="19.5" customHeight="1">
      <c r="A12" s="191" t="s">
        <v>170</v>
      </c>
      <c r="B12" s="192"/>
      <c r="C12" s="192">
        <v>4000</v>
      </c>
      <c r="D12" s="192">
        <v>4000</v>
      </c>
      <c r="E12" s="192"/>
      <c r="F12" s="444"/>
      <c r="G12" s="445"/>
      <c r="H12" s="199"/>
    </row>
    <row r="13" spans="1:8" ht="19.5" customHeight="1">
      <c r="A13" s="191" t="s">
        <v>172</v>
      </c>
      <c r="B13" s="192">
        <v>862</v>
      </c>
      <c r="C13" s="192">
        <v>1000</v>
      </c>
      <c r="D13" s="192">
        <v>1000</v>
      </c>
      <c r="E13" s="192">
        <v>581</v>
      </c>
      <c r="F13" s="444">
        <f>E13/D13%</f>
        <v>58.1</v>
      </c>
      <c r="G13" s="445">
        <f>(E13/B13-1)*100</f>
        <v>-32.59860788863109</v>
      </c>
      <c r="H13" s="199"/>
    </row>
    <row r="14" spans="1:8" ht="19.5" customHeight="1">
      <c r="A14" s="446" t="s">
        <v>202</v>
      </c>
      <c r="B14" s="447">
        <f>SUM(B15)</f>
        <v>300</v>
      </c>
      <c r="C14" s="447">
        <f>SUM(C15)</f>
        <v>0</v>
      </c>
      <c r="D14" s="447">
        <f>SUM(D15)</f>
        <v>0</v>
      </c>
      <c r="E14" s="192">
        <f>SUM(E15)</f>
        <v>0</v>
      </c>
      <c r="F14" s="444"/>
      <c r="G14" s="445"/>
      <c r="H14" s="199"/>
    </row>
    <row r="15" spans="1:8" ht="19.5" customHeight="1">
      <c r="A15" s="446" t="s">
        <v>203</v>
      </c>
      <c r="B15" s="447">
        <v>300</v>
      </c>
      <c r="C15" s="447"/>
      <c r="D15" s="447"/>
      <c r="E15" s="192"/>
      <c r="F15" s="444"/>
      <c r="G15" s="445"/>
      <c r="H15" s="199"/>
    </row>
    <row r="16" spans="1:8" ht="19.5" customHeight="1">
      <c r="A16" s="446" t="s">
        <v>204</v>
      </c>
      <c r="B16" s="447">
        <f>SUM(B17:B17)</f>
        <v>599</v>
      </c>
      <c r="C16" s="447">
        <f>SUM(C17:C17)</f>
        <v>554</v>
      </c>
      <c r="D16" s="447">
        <f>SUM(D17:D17)</f>
        <v>554</v>
      </c>
      <c r="E16" s="192">
        <f>SUM(E17:E17)</f>
        <v>348</v>
      </c>
      <c r="F16" s="444">
        <f>E16/D16%</f>
        <v>62.81588447653429</v>
      </c>
      <c r="G16" s="445">
        <f>(E16/B16-1)*100</f>
        <v>-41.90317195325542</v>
      </c>
      <c r="H16" s="199"/>
    </row>
    <row r="17" spans="1:8" ht="19.5" customHeight="1">
      <c r="A17" s="446" t="s">
        <v>176</v>
      </c>
      <c r="B17" s="192">
        <v>599</v>
      </c>
      <c r="C17" s="192">
        <v>554</v>
      </c>
      <c r="D17" s="192">
        <v>554</v>
      </c>
      <c r="E17" s="192">
        <v>348</v>
      </c>
      <c r="F17" s="444">
        <f>E17/D17%</f>
        <v>62.81588447653429</v>
      </c>
      <c r="G17" s="445">
        <f>(E17/B17-1)*100</f>
        <v>-41.90317195325542</v>
      </c>
      <c r="H17" s="223"/>
    </row>
    <row r="18" spans="1:8" ht="19.5" customHeight="1">
      <c r="A18" s="191" t="s">
        <v>205</v>
      </c>
      <c r="B18" s="192">
        <f>SUM(B19:B21)</f>
        <v>7</v>
      </c>
      <c r="C18" s="192">
        <f>SUM(C19:C21)</f>
        <v>15597</v>
      </c>
      <c r="D18" s="192">
        <f>SUM(D19:D21)</f>
        <v>15597</v>
      </c>
      <c r="E18" s="192">
        <f>SUM(E19:E21)</f>
        <v>14090</v>
      </c>
      <c r="F18" s="444">
        <f>E18/D18%</f>
        <v>90.33788549079951</v>
      </c>
      <c r="G18" s="445"/>
      <c r="H18" s="199"/>
    </row>
    <row r="19" spans="1:8" ht="19.5" customHeight="1">
      <c r="A19" s="448" t="s">
        <v>206</v>
      </c>
      <c r="B19" s="192">
        <f>-7070+192</f>
        <v>-6878</v>
      </c>
      <c r="C19" s="192">
        <v>5516</v>
      </c>
      <c r="D19" s="192">
        <v>5516</v>
      </c>
      <c r="E19" s="192">
        <f>169+22+5495</f>
        <v>5686</v>
      </c>
      <c r="F19" s="444"/>
      <c r="G19" s="445"/>
      <c r="H19" s="223" t="s">
        <v>207</v>
      </c>
    </row>
    <row r="20" spans="1:8" ht="19.5" customHeight="1">
      <c r="A20" s="449" t="s">
        <v>179</v>
      </c>
      <c r="B20" s="192">
        <v>2527</v>
      </c>
      <c r="C20" s="192">
        <v>2307</v>
      </c>
      <c r="D20" s="192">
        <v>2307</v>
      </c>
      <c r="E20" s="192">
        <v>2348</v>
      </c>
      <c r="F20" s="444">
        <f>E20/D20%</f>
        <v>101.77719982661465</v>
      </c>
      <c r="G20" s="445">
        <f>(E20/B20-1)*100</f>
        <v>-7.083498219232287</v>
      </c>
      <c r="H20" s="199"/>
    </row>
    <row r="21" spans="1:8" ht="19.5" customHeight="1">
      <c r="A21" s="448" t="s">
        <v>208</v>
      </c>
      <c r="B21" s="192">
        <v>4358</v>
      </c>
      <c r="C21" s="192">
        <v>7774</v>
      </c>
      <c r="D21" s="192">
        <v>7774</v>
      </c>
      <c r="E21" s="192">
        <v>6056</v>
      </c>
      <c r="F21" s="444">
        <f>E21/D21%</f>
        <v>77.90069462310265</v>
      </c>
      <c r="G21" s="445">
        <f>(E21/B21-1)*100</f>
        <v>38.96282698485545</v>
      </c>
      <c r="H21" s="199"/>
    </row>
    <row r="22" spans="1:8" ht="19.5" customHeight="1">
      <c r="A22" s="450"/>
      <c r="B22" s="192"/>
      <c r="C22" s="192"/>
      <c r="D22" s="192"/>
      <c r="E22" s="192"/>
      <c r="F22" s="444"/>
      <c r="G22" s="445"/>
      <c r="H22" s="199"/>
    </row>
    <row r="23" spans="1:8" ht="19.5" customHeight="1">
      <c r="A23" s="204" t="s">
        <v>84</v>
      </c>
      <c r="B23" s="192">
        <f>SUM(B5,B8,B16,B18)</f>
        <v>124372</v>
      </c>
      <c r="C23" s="192">
        <f>SUM(C5,C8,C16,C18)</f>
        <v>91135</v>
      </c>
      <c r="D23" s="192">
        <f>SUM(D5,D8,D16,D18)</f>
        <v>144351</v>
      </c>
      <c r="E23" s="192">
        <f>SUM(E5,E8,E14,E16,E18)</f>
        <v>141682</v>
      </c>
      <c r="F23" s="444">
        <f>E23/D23%</f>
        <v>98.15103463086504</v>
      </c>
      <c r="G23" s="445">
        <f>(E23/B23-1)*100</f>
        <v>13.917923648409602</v>
      </c>
      <c r="H23" s="451"/>
    </row>
    <row r="24" spans="1:8" ht="19.5" customHeight="1">
      <c r="A24" s="204"/>
      <c r="B24" s="192"/>
      <c r="C24" s="192"/>
      <c r="D24" s="192"/>
      <c r="E24" s="192"/>
      <c r="F24" s="444"/>
      <c r="G24" s="193"/>
      <c r="H24" s="199"/>
    </row>
    <row r="25" spans="1:8" ht="19.5" customHeight="1">
      <c r="A25" s="449" t="s">
        <v>85</v>
      </c>
      <c r="B25" s="192">
        <f>B26</f>
        <v>158983</v>
      </c>
      <c r="C25" s="192">
        <f>C26</f>
        <v>0</v>
      </c>
      <c r="D25" s="192">
        <f>D26</f>
        <v>0</v>
      </c>
      <c r="E25" s="192">
        <f>E26</f>
        <v>0</v>
      </c>
      <c r="F25" s="444"/>
      <c r="G25" s="193"/>
      <c r="H25" s="199"/>
    </row>
    <row r="26" spans="1:8" ht="19.5" customHeight="1">
      <c r="A26" s="204" t="s">
        <v>209</v>
      </c>
      <c r="B26" s="192">
        <v>158983</v>
      </c>
      <c r="C26" s="192"/>
      <c r="D26" s="192"/>
      <c r="E26" s="192"/>
      <c r="F26" s="444"/>
      <c r="G26" s="193"/>
      <c r="H26" s="199"/>
    </row>
    <row r="27" spans="1:8" ht="19.5" customHeight="1">
      <c r="A27" s="450"/>
      <c r="B27" s="192"/>
      <c r="C27" s="192"/>
      <c r="D27" s="192"/>
      <c r="E27" s="192"/>
      <c r="F27" s="452"/>
      <c r="G27" s="193"/>
      <c r="H27" s="199"/>
    </row>
    <row r="28" spans="1:8" ht="19.5" customHeight="1">
      <c r="A28" s="191" t="s">
        <v>88</v>
      </c>
      <c r="B28" s="192">
        <f>B29+B32+B33+B34</f>
        <v>989779</v>
      </c>
      <c r="C28" s="192">
        <f>C29+C32+C33+C34</f>
        <v>107719</v>
      </c>
      <c r="D28" s="192">
        <f>D29+D32+D33+D34</f>
        <v>297390</v>
      </c>
      <c r="E28" s="192">
        <f>E29+E32+E33+E34</f>
        <v>301529</v>
      </c>
      <c r="F28" s="452"/>
      <c r="G28" s="193"/>
      <c r="H28" s="199"/>
    </row>
    <row r="29" spans="1:8" ht="19.5" customHeight="1">
      <c r="A29" s="191" t="s">
        <v>184</v>
      </c>
      <c r="B29" s="192">
        <f>SUM(B30:B31)</f>
        <v>29074</v>
      </c>
      <c r="C29" s="192">
        <f>SUM(C30:C31)</f>
        <v>3555</v>
      </c>
      <c r="D29" s="192">
        <f>SUM(D30:D31)</f>
        <v>3555</v>
      </c>
      <c r="E29" s="192">
        <f>SUM(E30:E31)</f>
        <v>10554</v>
      </c>
      <c r="F29" s="452"/>
      <c r="G29" s="193"/>
      <c r="H29" s="199"/>
    </row>
    <row r="30" spans="1:8" ht="19.5" customHeight="1">
      <c r="A30" s="191" t="s">
        <v>185</v>
      </c>
      <c r="B30" s="192">
        <v>28894</v>
      </c>
      <c r="C30" s="192">
        <v>3375</v>
      </c>
      <c r="D30" s="192">
        <v>3375</v>
      </c>
      <c r="E30" s="192">
        <v>10542</v>
      </c>
      <c r="F30" s="452"/>
      <c r="G30" s="193"/>
      <c r="H30" s="199"/>
    </row>
    <row r="31" spans="1:8" ht="19.5" customHeight="1">
      <c r="A31" s="191" t="s">
        <v>186</v>
      </c>
      <c r="B31" s="192">
        <v>180</v>
      </c>
      <c r="C31" s="192">
        <v>180</v>
      </c>
      <c r="D31" s="192">
        <v>180</v>
      </c>
      <c r="E31" s="192">
        <v>12</v>
      </c>
      <c r="F31" s="452"/>
      <c r="G31" s="193"/>
      <c r="H31" s="199"/>
    </row>
    <row r="32" spans="1:8" ht="19.5" customHeight="1">
      <c r="A32" s="191" t="s">
        <v>187</v>
      </c>
      <c r="B32" s="192">
        <v>8769</v>
      </c>
      <c r="C32" s="192"/>
      <c r="D32" s="192"/>
      <c r="E32" s="192">
        <v>18428</v>
      </c>
      <c r="F32" s="453"/>
      <c r="G32" s="454"/>
      <c r="H32" s="455"/>
    </row>
    <row r="33" spans="1:8" ht="19.5" customHeight="1">
      <c r="A33" s="191" t="s">
        <v>210</v>
      </c>
      <c r="B33" s="192">
        <v>886317</v>
      </c>
      <c r="C33" s="192">
        <v>39000</v>
      </c>
      <c r="D33" s="192">
        <v>241800</v>
      </c>
      <c r="E33" s="192">
        <v>241800</v>
      </c>
      <c r="F33" s="452"/>
      <c r="G33" s="193"/>
      <c r="H33" s="199"/>
    </row>
    <row r="34" spans="1:8" ht="19.5" customHeight="1">
      <c r="A34" s="191" t="s">
        <v>188</v>
      </c>
      <c r="B34" s="192">
        <v>65619</v>
      </c>
      <c r="C34" s="192">
        <v>65164</v>
      </c>
      <c r="D34" s="192">
        <v>52035</v>
      </c>
      <c r="E34" s="192">
        <v>30747</v>
      </c>
      <c r="F34" s="452"/>
      <c r="G34" s="193"/>
      <c r="H34" s="456"/>
    </row>
    <row r="35" spans="1:8" ht="19.5" customHeight="1">
      <c r="A35" s="192"/>
      <c r="B35" s="192"/>
      <c r="C35" s="192"/>
      <c r="D35" s="192"/>
      <c r="E35" s="192"/>
      <c r="F35" s="452"/>
      <c r="G35" s="193"/>
      <c r="H35" s="199"/>
    </row>
    <row r="36" spans="1:8" ht="19.5" customHeight="1">
      <c r="A36" s="204" t="s">
        <v>93</v>
      </c>
      <c r="B36" s="192">
        <f>B28+B23+B25</f>
        <v>1273134</v>
      </c>
      <c r="C36" s="192">
        <f>C28+C23+C25</f>
        <v>198854</v>
      </c>
      <c r="D36" s="192">
        <f>D28+D23+D25</f>
        <v>441741</v>
      </c>
      <c r="E36" s="192">
        <f>E28+E23+E25</f>
        <v>443211</v>
      </c>
      <c r="F36" s="444">
        <f>E36/D36%</f>
        <v>100.33277418215651</v>
      </c>
      <c r="G36" s="193">
        <f>(E36/B36-1)*100</f>
        <v>-65.18740368256601</v>
      </c>
      <c r="H36" s="457"/>
    </row>
    <row r="37" spans="1:8" ht="19.5" customHeight="1">
      <c r="A37" s="458"/>
      <c r="B37" s="458"/>
      <c r="C37" s="458"/>
      <c r="D37" s="458"/>
      <c r="E37" s="458"/>
      <c r="F37" s="458"/>
      <c r="G37" s="458"/>
      <c r="H37" s="458"/>
    </row>
  </sheetData>
  <sheetProtection/>
  <mergeCells count="2">
    <mergeCell ref="A2:H2"/>
    <mergeCell ref="A37:H37"/>
  </mergeCells>
  <printOptions horizontalCentered="1"/>
  <pageMargins left="0.24" right="0.24" top="0.75" bottom="0.9" header="0.31" footer="0.31"/>
  <pageSetup horizontalDpi="600" verticalDpi="600" orientation="portrait" paperSize="9" scale="94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O33"/>
  <sheetViews>
    <sheetView showZeros="0" view="pageBreakPreview" zoomScale="70" zoomScaleSheetLayoutView="70" workbookViewId="0" topLeftCell="A1">
      <selection activeCell="A23" sqref="A23:IV33"/>
    </sheetView>
  </sheetViews>
  <sheetFormatPr defaultColWidth="9.00390625" defaultRowHeight="14.25"/>
  <cols>
    <col min="1" max="1" width="30.875" style="150" customWidth="1"/>
    <col min="2" max="2" width="6.625" style="150" customWidth="1"/>
    <col min="3" max="3" width="7.625" style="151" customWidth="1"/>
    <col min="4" max="4" width="6.75390625" style="151" customWidth="1"/>
    <col min="5" max="5" width="6.25390625" style="151" customWidth="1"/>
    <col min="6" max="6" width="7.25390625" style="151" customWidth="1"/>
    <col min="7" max="7" width="8.125" style="151" customWidth="1"/>
    <col min="8" max="8" width="13.75390625" style="149" customWidth="1"/>
    <col min="9" max="9" width="15.75390625" style="150" customWidth="1"/>
    <col min="10" max="11" width="16.125" style="150" customWidth="1"/>
    <col min="12" max="13" width="12.375" style="151" customWidth="1"/>
    <col min="14" max="14" width="7.50390625" style="151" customWidth="1"/>
    <col min="15" max="15" width="67.00390625" style="149" customWidth="1"/>
    <col min="16" max="16384" width="9.00390625" style="150" customWidth="1"/>
  </cols>
  <sheetData>
    <row r="1" spans="1:14" s="149" customFormat="1" ht="18" customHeight="1">
      <c r="A1" s="429" t="s">
        <v>211</v>
      </c>
      <c r="B1" s="430"/>
      <c r="C1" s="151"/>
      <c r="D1" s="151"/>
      <c r="E1" s="151"/>
      <c r="F1" s="151"/>
      <c r="G1" s="151"/>
      <c r="I1" s="430"/>
      <c r="J1" s="430"/>
      <c r="K1" s="430"/>
      <c r="L1" s="151"/>
      <c r="M1" s="151"/>
      <c r="N1" s="151"/>
    </row>
    <row r="2" spans="1:15" s="149" customFormat="1" ht="22.5" customHeight="1">
      <c r="A2" s="4" t="s">
        <v>212</v>
      </c>
      <c r="B2" s="4"/>
      <c r="C2" s="4"/>
      <c r="D2" s="4"/>
      <c r="E2" s="4"/>
      <c r="F2" s="4"/>
      <c r="G2" s="4"/>
      <c r="H2" s="4"/>
      <c r="I2" s="153"/>
      <c r="J2" s="153"/>
      <c r="K2" s="153"/>
      <c r="L2" s="153"/>
      <c r="M2" s="153"/>
      <c r="N2" s="153"/>
      <c r="O2" s="153"/>
    </row>
    <row r="3" spans="1:15" s="149" customFormat="1" ht="21.75" customHeight="1">
      <c r="A3" s="154" t="s">
        <v>213</v>
      </c>
      <c r="B3" s="154"/>
      <c r="C3" s="154"/>
      <c r="D3" s="154"/>
      <c r="E3" s="154"/>
      <c r="F3" s="154"/>
      <c r="G3" s="154"/>
      <c r="H3" s="154"/>
      <c r="I3" s="155"/>
      <c r="J3" s="155"/>
      <c r="K3" s="155"/>
      <c r="L3" s="155"/>
      <c r="M3" s="155"/>
      <c r="N3" s="156"/>
      <c r="O3" s="182"/>
    </row>
    <row r="4" spans="1:15" s="149" customFormat="1" ht="23.25" customHeight="1">
      <c r="A4" s="157" t="s">
        <v>214</v>
      </c>
      <c r="B4" s="157" t="s">
        <v>5</v>
      </c>
      <c r="C4" s="157" t="s">
        <v>6</v>
      </c>
      <c r="D4" s="157" t="s">
        <v>7</v>
      </c>
      <c r="E4" s="235" t="s">
        <v>8</v>
      </c>
      <c r="F4" s="235"/>
      <c r="G4" s="235"/>
      <c r="H4" s="159" t="s">
        <v>139</v>
      </c>
      <c r="I4" s="155"/>
      <c r="J4" s="155"/>
      <c r="K4" s="155"/>
      <c r="L4" s="155"/>
      <c r="M4" s="155"/>
      <c r="N4" s="156"/>
      <c r="O4" s="182"/>
    </row>
    <row r="5" spans="1:8" ht="27.75" customHeight="1">
      <c r="A5" s="157"/>
      <c r="B5" s="157"/>
      <c r="C5" s="157"/>
      <c r="D5" s="157"/>
      <c r="E5" s="157" t="s">
        <v>10</v>
      </c>
      <c r="F5" s="157" t="s">
        <v>138</v>
      </c>
      <c r="G5" s="157" t="s">
        <v>97</v>
      </c>
      <c r="H5" s="178"/>
    </row>
    <row r="6" spans="1:15" s="150" customFormat="1" ht="22.5" customHeight="1">
      <c r="A6" s="158" t="s">
        <v>215</v>
      </c>
      <c r="B6" s="431">
        <f>B7+B9+B10+B8</f>
        <v>7924</v>
      </c>
      <c r="C6" s="431">
        <f>C7+C9+C10+C8</f>
        <v>5000</v>
      </c>
      <c r="D6" s="431">
        <f>D7+D9+D10+D8</f>
        <v>0</v>
      </c>
      <c r="E6" s="431">
        <f>E7+E9+E10+E8</f>
        <v>6799</v>
      </c>
      <c r="F6" s="165"/>
      <c r="G6" s="175">
        <f>(E6/B6-1)*100</f>
        <v>-14.197375063099448</v>
      </c>
      <c r="H6" s="162"/>
      <c r="L6" s="151"/>
      <c r="M6" s="151"/>
      <c r="N6" s="151"/>
      <c r="O6" s="149"/>
    </row>
    <row r="7" spans="1:15" s="150" customFormat="1" ht="22.5" customHeight="1">
      <c r="A7" s="168" t="s">
        <v>216</v>
      </c>
      <c r="B7" s="164">
        <v>3824</v>
      </c>
      <c r="C7" s="432">
        <v>1000</v>
      </c>
      <c r="D7" s="433">
        <v>0</v>
      </c>
      <c r="E7" s="160"/>
      <c r="F7" s="165"/>
      <c r="G7" s="175"/>
      <c r="H7" s="434"/>
      <c r="L7" s="151"/>
      <c r="M7" s="151"/>
      <c r="N7" s="151"/>
      <c r="O7" s="149"/>
    </row>
    <row r="8" spans="1:15" s="150" customFormat="1" ht="22.5" customHeight="1">
      <c r="A8" s="168" t="s">
        <v>217</v>
      </c>
      <c r="B8" s="164"/>
      <c r="C8" s="432">
        <v>1800</v>
      </c>
      <c r="D8" s="433">
        <v>0</v>
      </c>
      <c r="E8" s="160"/>
      <c r="F8" s="165"/>
      <c r="G8" s="175"/>
      <c r="H8" s="434"/>
      <c r="L8" s="151"/>
      <c r="M8" s="151"/>
      <c r="N8" s="151"/>
      <c r="O8" s="149"/>
    </row>
    <row r="9" spans="1:15" s="150" customFormat="1" ht="22.5" customHeight="1">
      <c r="A9" s="168" t="s">
        <v>218</v>
      </c>
      <c r="B9" s="164"/>
      <c r="C9" s="432">
        <v>2200</v>
      </c>
      <c r="D9" s="433">
        <v>0</v>
      </c>
      <c r="E9" s="160"/>
      <c r="F9" s="165"/>
      <c r="G9" s="175"/>
      <c r="H9" s="434"/>
      <c r="L9" s="151"/>
      <c r="M9" s="151"/>
      <c r="N9" s="151"/>
      <c r="O9" s="149"/>
    </row>
    <row r="10" spans="1:15" s="150" customFormat="1" ht="22.5" customHeight="1">
      <c r="A10" s="168" t="s">
        <v>219</v>
      </c>
      <c r="B10" s="164">
        <v>4100</v>
      </c>
      <c r="C10" s="432"/>
      <c r="D10" s="433"/>
      <c r="E10" s="160">
        <v>6799</v>
      </c>
      <c r="F10" s="165"/>
      <c r="G10" s="175">
        <f>(E10/B10-1)*100</f>
        <v>65.82926829268291</v>
      </c>
      <c r="H10" s="434"/>
      <c r="L10" s="151"/>
      <c r="M10" s="151"/>
      <c r="N10" s="151"/>
      <c r="O10" s="149"/>
    </row>
    <row r="11" spans="1:15" s="150" customFormat="1" ht="22.5" customHeight="1">
      <c r="A11" s="158" t="s">
        <v>220</v>
      </c>
      <c r="B11" s="164"/>
      <c r="C11" s="432"/>
      <c r="D11" s="433"/>
      <c r="E11" s="160"/>
      <c r="F11" s="165"/>
      <c r="G11" s="175"/>
      <c r="H11" s="434"/>
      <c r="L11" s="151"/>
      <c r="M11" s="151"/>
      <c r="N11" s="151"/>
      <c r="O11" s="149"/>
    </row>
    <row r="12" spans="1:8" ht="22.5" customHeight="1">
      <c r="A12" s="168" t="s">
        <v>221</v>
      </c>
      <c r="B12" s="164">
        <v>10385</v>
      </c>
      <c r="C12" s="432">
        <v>7000</v>
      </c>
      <c r="D12" s="432">
        <v>7000</v>
      </c>
      <c r="E12" s="160">
        <v>15960</v>
      </c>
      <c r="F12" s="165">
        <f>E12/D12%</f>
        <v>228</v>
      </c>
      <c r="G12" s="175">
        <f>(E12/B12-1)*100</f>
        <v>53.68319691863264</v>
      </c>
      <c r="H12" s="167"/>
    </row>
    <row r="13" spans="1:8" ht="22.5" customHeight="1">
      <c r="A13" s="168" t="s">
        <v>222</v>
      </c>
      <c r="B13" s="164"/>
      <c r="C13" s="432">
        <v>60</v>
      </c>
      <c r="D13" s="432">
        <v>60</v>
      </c>
      <c r="E13" s="160"/>
      <c r="F13" s="165"/>
      <c r="G13" s="175"/>
      <c r="H13" s="167"/>
    </row>
    <row r="14" spans="1:8" ht="22.5" customHeight="1">
      <c r="A14" s="168"/>
      <c r="B14" s="435"/>
      <c r="C14" s="432"/>
      <c r="D14" s="433"/>
      <c r="E14" s="160"/>
      <c r="F14" s="165"/>
      <c r="G14" s="175"/>
      <c r="H14" s="167"/>
    </row>
    <row r="15" spans="1:14" s="149" customFormat="1" ht="22.5" customHeight="1">
      <c r="A15" s="169" t="s">
        <v>223</v>
      </c>
      <c r="B15" s="164">
        <f>SUM(B6,B11,B12)</f>
        <v>18309</v>
      </c>
      <c r="C15" s="432">
        <f>C6+C11+C12+C13</f>
        <v>12060</v>
      </c>
      <c r="D15" s="432">
        <f>D6+D11+D12+D13</f>
        <v>7060</v>
      </c>
      <c r="E15" s="160">
        <f>SUM(E6,E11,E12)</f>
        <v>22759</v>
      </c>
      <c r="F15" s="165">
        <f>E15/D15%</f>
        <v>322.36543909348444</v>
      </c>
      <c r="G15" s="175">
        <f>(E15/B15-1)*100</f>
        <v>24.304986618602875</v>
      </c>
      <c r="H15" s="167"/>
      <c r="I15" s="150"/>
      <c r="J15" s="150"/>
      <c r="K15" s="150"/>
      <c r="L15" s="151"/>
      <c r="M15" s="151"/>
      <c r="N15" s="151"/>
    </row>
    <row r="16" spans="1:14" s="149" customFormat="1" ht="22.5" customHeight="1">
      <c r="A16" s="169"/>
      <c r="B16" s="164"/>
      <c r="C16" s="432"/>
      <c r="D16" s="433"/>
      <c r="E16" s="160"/>
      <c r="F16" s="165"/>
      <c r="G16" s="175"/>
      <c r="H16" s="167"/>
      <c r="I16" s="150"/>
      <c r="J16" s="150"/>
      <c r="K16" s="150"/>
      <c r="L16" s="151"/>
      <c r="M16" s="151"/>
      <c r="N16" s="151"/>
    </row>
    <row r="17" spans="1:15" s="150" customFormat="1" ht="22.5" customHeight="1">
      <c r="A17" s="163" t="s">
        <v>224</v>
      </c>
      <c r="B17" s="164">
        <v>14</v>
      </c>
      <c r="C17" s="432"/>
      <c r="D17" s="433">
        <v>6693</v>
      </c>
      <c r="E17" s="160">
        <v>6693</v>
      </c>
      <c r="F17" s="165">
        <f>E17/D17%</f>
        <v>99.99999999999999</v>
      </c>
      <c r="G17" s="175"/>
      <c r="H17" s="167"/>
      <c r="L17" s="151"/>
      <c r="M17" s="151"/>
      <c r="N17" s="151"/>
      <c r="O17" s="149"/>
    </row>
    <row r="18" spans="1:15" s="150" customFormat="1" ht="22.5" customHeight="1">
      <c r="A18" s="163" t="s">
        <v>225</v>
      </c>
      <c r="B18" s="164">
        <v>19</v>
      </c>
      <c r="C18" s="432"/>
      <c r="D18" s="433"/>
      <c r="E18" s="160"/>
      <c r="F18" s="165"/>
      <c r="G18" s="175"/>
      <c r="H18" s="167"/>
      <c r="L18" s="151"/>
      <c r="M18" s="151"/>
      <c r="N18" s="151"/>
      <c r="O18" s="149"/>
    </row>
    <row r="19" spans="1:8" ht="22.5" customHeight="1">
      <c r="A19" s="168"/>
      <c r="B19" s="164"/>
      <c r="C19" s="432"/>
      <c r="D19" s="433"/>
      <c r="E19" s="160"/>
      <c r="F19" s="165"/>
      <c r="G19" s="175"/>
      <c r="H19" s="167"/>
    </row>
    <row r="20" spans="1:8" ht="22.5" customHeight="1">
      <c r="A20" s="169" t="s">
        <v>48</v>
      </c>
      <c r="B20" s="178">
        <f>SUM(B15:B18)</f>
        <v>18342</v>
      </c>
      <c r="C20" s="178">
        <f>SUM(C15:C18)</f>
        <v>12060</v>
      </c>
      <c r="D20" s="178">
        <f>SUM(D15:D18)</f>
        <v>13753</v>
      </c>
      <c r="E20" s="178">
        <f>SUM(E15:E18)</f>
        <v>29452</v>
      </c>
      <c r="F20" s="165">
        <f>E20/D20%</f>
        <v>214.1496400785283</v>
      </c>
      <c r="G20" s="175">
        <f>(E20/B20-1)*100</f>
        <v>60.571366263221016</v>
      </c>
      <c r="H20" s="167"/>
    </row>
    <row r="21" spans="1:15" s="149" customFormat="1" ht="21" customHeight="1">
      <c r="A21" s="157" t="s">
        <v>226</v>
      </c>
      <c r="B21" s="157" t="s">
        <v>5</v>
      </c>
      <c r="C21" s="157" t="s">
        <v>6</v>
      </c>
      <c r="D21" s="178" t="s">
        <v>7</v>
      </c>
      <c r="E21" s="235" t="s">
        <v>8</v>
      </c>
      <c r="F21" s="235"/>
      <c r="G21" s="235"/>
      <c r="H21" s="157" t="s">
        <v>139</v>
      </c>
      <c r="I21" s="155"/>
      <c r="J21" s="155"/>
      <c r="K21" s="155"/>
      <c r="L21" s="155"/>
      <c r="M21" s="155"/>
      <c r="N21" s="156"/>
      <c r="O21" s="182"/>
    </row>
    <row r="22" spans="1:8" ht="28.5" customHeight="1">
      <c r="A22" s="157"/>
      <c r="B22" s="157"/>
      <c r="C22" s="157"/>
      <c r="D22" s="157"/>
      <c r="E22" s="157" t="s">
        <v>10</v>
      </c>
      <c r="F22" s="157" t="s">
        <v>138</v>
      </c>
      <c r="G22" s="157" t="s">
        <v>97</v>
      </c>
      <c r="H22" s="157"/>
    </row>
    <row r="23" spans="1:15" s="150" customFormat="1" ht="22.5" customHeight="1">
      <c r="A23" s="163" t="s">
        <v>227</v>
      </c>
      <c r="B23" s="164">
        <v>45</v>
      </c>
      <c r="C23" s="160">
        <v>40</v>
      </c>
      <c r="D23" s="159">
        <v>12</v>
      </c>
      <c r="E23" s="169">
        <v>12</v>
      </c>
      <c r="F23" s="165">
        <f>E23/D23%</f>
        <v>100</v>
      </c>
      <c r="G23" s="175">
        <f>(E23/B23-1)*100</f>
        <v>-73.33333333333334</v>
      </c>
      <c r="H23" s="166"/>
      <c r="L23" s="151"/>
      <c r="M23" s="151"/>
      <c r="N23" s="151"/>
      <c r="O23" s="149"/>
    </row>
    <row r="24" spans="1:15" s="150" customFormat="1" ht="22.5" customHeight="1">
      <c r="A24" s="163" t="s">
        <v>228</v>
      </c>
      <c r="B24" s="164">
        <v>7319</v>
      </c>
      <c r="C24" s="160">
        <v>7660</v>
      </c>
      <c r="D24" s="164">
        <v>4000</v>
      </c>
      <c r="E24" s="169">
        <v>10258</v>
      </c>
      <c r="F24" s="165">
        <f>E24/D24%</f>
        <v>256.45</v>
      </c>
      <c r="G24" s="175">
        <f>(E24/B24-1)*100</f>
        <v>40.155758983467685</v>
      </c>
      <c r="H24" s="166"/>
      <c r="L24" s="151"/>
      <c r="M24" s="151"/>
      <c r="N24" s="151"/>
      <c r="O24" s="149"/>
    </row>
    <row r="25" spans="1:15" s="150" customFormat="1" ht="22.5" customHeight="1">
      <c r="A25" s="163" t="s">
        <v>229</v>
      </c>
      <c r="B25" s="164"/>
      <c r="C25" s="160"/>
      <c r="D25" s="164"/>
      <c r="E25" s="169"/>
      <c r="F25" s="165"/>
      <c r="G25" s="175"/>
      <c r="H25" s="166"/>
      <c r="L25" s="151"/>
      <c r="M25" s="151"/>
      <c r="N25" s="151"/>
      <c r="O25" s="149"/>
    </row>
    <row r="26" spans="1:15" s="150" customFormat="1" ht="22.5" customHeight="1">
      <c r="A26" s="163" t="s">
        <v>230</v>
      </c>
      <c r="B26" s="164">
        <v>7257</v>
      </c>
      <c r="C26" s="160">
        <v>3860</v>
      </c>
      <c r="D26" s="164">
        <f>940+3060+5741</f>
        <v>9741</v>
      </c>
      <c r="E26" s="169">
        <v>10115</v>
      </c>
      <c r="F26" s="165">
        <f>E26/D26%</f>
        <v>103.83944153577661</v>
      </c>
      <c r="G26" s="175">
        <f>(E26/B26-1)*100</f>
        <v>39.3826650130908</v>
      </c>
      <c r="H26" s="166"/>
      <c r="L26" s="151"/>
      <c r="M26" s="151"/>
      <c r="N26" s="151"/>
      <c r="O26" s="149"/>
    </row>
    <row r="27" spans="1:15" s="150" customFormat="1" ht="22.5" customHeight="1">
      <c r="A27" s="163"/>
      <c r="B27" s="164"/>
      <c r="C27" s="160"/>
      <c r="D27" s="169"/>
      <c r="E27" s="169"/>
      <c r="F27" s="165"/>
      <c r="G27" s="175"/>
      <c r="H27" s="166"/>
      <c r="L27" s="151"/>
      <c r="M27" s="151"/>
      <c r="N27" s="151"/>
      <c r="O27" s="149"/>
    </row>
    <row r="28" spans="1:14" s="149" customFormat="1" ht="22.5" customHeight="1">
      <c r="A28" s="169" t="s">
        <v>231</v>
      </c>
      <c r="B28" s="164">
        <f>SUM(B23:B26)</f>
        <v>14621</v>
      </c>
      <c r="C28" s="169">
        <f>SUM(C23:C26)</f>
        <v>11560</v>
      </c>
      <c r="D28" s="169">
        <f>SUM(D23:D26)</f>
        <v>13753</v>
      </c>
      <c r="E28" s="169">
        <f>SUM(E23:E26)</f>
        <v>20385</v>
      </c>
      <c r="F28" s="165">
        <f>E28/D28%</f>
        <v>148.22220606413146</v>
      </c>
      <c r="G28" s="175">
        <f>(E28/B28-1)*100</f>
        <v>39.422748102045006</v>
      </c>
      <c r="H28" s="434">
        <f>D20-D33</f>
        <v>0</v>
      </c>
      <c r="I28" s="150"/>
      <c r="J28" s="150"/>
      <c r="K28" s="150"/>
      <c r="L28" s="151"/>
      <c r="M28" s="151"/>
      <c r="N28" s="151"/>
    </row>
    <row r="29" spans="1:14" s="149" customFormat="1" ht="22.5" customHeight="1">
      <c r="A29" s="169"/>
      <c r="B29" s="164"/>
      <c r="C29" s="160"/>
      <c r="D29" s="169"/>
      <c r="E29" s="169"/>
      <c r="F29" s="165"/>
      <c r="G29" s="175"/>
      <c r="H29" s="434"/>
      <c r="I29" s="150"/>
      <c r="J29" s="150"/>
      <c r="K29" s="150"/>
      <c r="L29" s="151"/>
      <c r="M29" s="151"/>
      <c r="N29" s="151"/>
    </row>
    <row r="30" spans="1:14" s="149" customFormat="1" ht="22.5" customHeight="1">
      <c r="A30" s="168" t="s">
        <v>232</v>
      </c>
      <c r="B30" s="164">
        <v>3721</v>
      </c>
      <c r="C30" s="174">
        <v>500</v>
      </c>
      <c r="D30" s="432"/>
      <c r="E30" s="169">
        <v>8622</v>
      </c>
      <c r="F30" s="165"/>
      <c r="G30" s="175">
        <f>(E30/B30-1)*100</f>
        <v>131.71190540177372</v>
      </c>
      <c r="H30" s="166"/>
      <c r="I30" s="150"/>
      <c r="J30" s="150"/>
      <c r="K30" s="150"/>
      <c r="L30" s="151"/>
      <c r="M30" s="151"/>
      <c r="N30" s="151"/>
    </row>
    <row r="31" spans="1:14" s="149" customFormat="1" ht="22.5" customHeight="1">
      <c r="A31" s="168" t="s">
        <v>233</v>
      </c>
      <c r="B31" s="164"/>
      <c r="C31" s="436"/>
      <c r="D31" s="437"/>
      <c r="E31" s="169">
        <v>445</v>
      </c>
      <c r="F31" s="165"/>
      <c r="G31" s="175"/>
      <c r="H31" s="176"/>
      <c r="I31" s="150"/>
      <c r="J31" s="150"/>
      <c r="K31" s="150"/>
      <c r="L31" s="151"/>
      <c r="M31" s="151"/>
      <c r="N31" s="151"/>
    </row>
    <row r="32" spans="1:14" s="149" customFormat="1" ht="22.5" customHeight="1">
      <c r="A32" s="168"/>
      <c r="B32" s="164"/>
      <c r="C32" s="436"/>
      <c r="D32" s="437"/>
      <c r="E32" s="169"/>
      <c r="F32" s="165"/>
      <c r="G32" s="175"/>
      <c r="H32" s="176"/>
      <c r="I32" s="150"/>
      <c r="J32" s="150"/>
      <c r="K32" s="150"/>
      <c r="L32" s="151"/>
      <c r="M32" s="151"/>
      <c r="N32" s="151"/>
    </row>
    <row r="33" spans="1:15" s="150" customFormat="1" ht="22.5" customHeight="1">
      <c r="A33" s="177" t="s">
        <v>93</v>
      </c>
      <c r="B33" s="178">
        <f>SUM(B28:B31)</f>
        <v>18342</v>
      </c>
      <c r="C33" s="178">
        <f>SUM(C28:C31)</f>
        <v>12060</v>
      </c>
      <c r="D33" s="178">
        <f>SUM(D28:D31)</f>
        <v>13753</v>
      </c>
      <c r="E33" s="178">
        <f>SUM(E28:E31)</f>
        <v>29452</v>
      </c>
      <c r="F33" s="180">
        <f>E33/D33%</f>
        <v>214.1496400785283</v>
      </c>
      <c r="G33" s="438">
        <f>(E33/B33-1)*100</f>
        <v>60.571366263221016</v>
      </c>
      <c r="H33" s="181"/>
      <c r="L33" s="151"/>
      <c r="M33" s="151"/>
      <c r="N33" s="151"/>
      <c r="O33" s="149"/>
    </row>
    <row r="34" ht="16.5" customHeight="1"/>
  </sheetData>
  <sheetProtection/>
  <mergeCells count="14">
    <mergeCell ref="A2:H2"/>
    <mergeCell ref="A3:H3"/>
    <mergeCell ref="E4:G4"/>
    <mergeCell ref="E21:G21"/>
    <mergeCell ref="A4:A5"/>
    <mergeCell ref="A21:A22"/>
    <mergeCell ref="B4:B5"/>
    <mergeCell ref="B21:B22"/>
    <mergeCell ref="C4:C5"/>
    <mergeCell ref="C21:C22"/>
    <mergeCell ref="D4:D5"/>
    <mergeCell ref="D21:D22"/>
    <mergeCell ref="H4:H5"/>
    <mergeCell ref="H21:H22"/>
  </mergeCells>
  <printOptions horizontalCentered="1"/>
  <pageMargins left="0.75" right="0.75" top="0.75" bottom="0.9" header="0.5" footer="0.5"/>
  <pageSetup horizontalDpi="600" verticalDpi="600" orientation="portrait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O32"/>
  <sheetViews>
    <sheetView zoomScale="70" zoomScaleNormal="70" workbookViewId="0" topLeftCell="A1">
      <selection activeCell="A6" sqref="A6:IV19"/>
    </sheetView>
  </sheetViews>
  <sheetFormatPr defaultColWidth="9.00390625" defaultRowHeight="14.25"/>
  <cols>
    <col min="1" max="1" width="30.875" style="150" customWidth="1"/>
    <col min="2" max="2" width="6.75390625" style="150" customWidth="1"/>
    <col min="3" max="3" width="7.125" style="151" customWidth="1"/>
    <col min="4" max="4" width="6.75390625" style="151" customWidth="1"/>
    <col min="5" max="5" width="6.25390625" style="151" customWidth="1"/>
    <col min="6" max="6" width="7.25390625" style="151" customWidth="1"/>
    <col min="7" max="7" width="8.125" style="151" customWidth="1"/>
    <col min="8" max="8" width="15.125" style="149" customWidth="1"/>
    <col min="9" max="9" width="15.75390625" style="150" customWidth="1"/>
    <col min="10" max="11" width="16.125" style="150" customWidth="1"/>
    <col min="12" max="13" width="12.375" style="151" customWidth="1"/>
    <col min="14" max="14" width="7.50390625" style="151" customWidth="1"/>
    <col min="15" max="15" width="67.00390625" style="149" customWidth="1"/>
    <col min="16" max="16384" width="9.00390625" style="150" customWidth="1"/>
  </cols>
  <sheetData>
    <row r="1" spans="1:14" s="149" customFormat="1" ht="18" customHeight="1">
      <c r="A1" s="429" t="s">
        <v>234</v>
      </c>
      <c r="B1" s="430"/>
      <c r="C1" s="151"/>
      <c r="D1" s="151"/>
      <c r="E1" s="151"/>
      <c r="F1" s="151"/>
      <c r="G1" s="151"/>
      <c r="I1" s="430"/>
      <c r="J1" s="430"/>
      <c r="K1" s="430"/>
      <c r="L1" s="151"/>
      <c r="M1" s="151"/>
      <c r="N1" s="151"/>
    </row>
    <row r="2" spans="1:15" s="149" customFormat="1" ht="22.5" customHeight="1">
      <c r="A2" s="4" t="s">
        <v>235</v>
      </c>
      <c r="B2" s="4"/>
      <c r="C2" s="4"/>
      <c r="D2" s="4"/>
      <c r="E2" s="4"/>
      <c r="F2" s="4"/>
      <c r="G2" s="4"/>
      <c r="H2" s="4"/>
      <c r="I2" s="153"/>
      <c r="J2" s="153"/>
      <c r="K2" s="153"/>
      <c r="L2" s="153"/>
      <c r="M2" s="153"/>
      <c r="N2" s="153"/>
      <c r="O2" s="153"/>
    </row>
    <row r="3" spans="1:15" s="149" customFormat="1" ht="21.75" customHeight="1">
      <c r="A3" s="154" t="s">
        <v>213</v>
      </c>
      <c r="B3" s="154"/>
      <c r="C3" s="154"/>
      <c r="D3" s="154"/>
      <c r="E3" s="154"/>
      <c r="F3" s="154"/>
      <c r="G3" s="154"/>
      <c r="H3" s="154"/>
      <c r="I3" s="155"/>
      <c r="J3" s="155"/>
      <c r="K3" s="155"/>
      <c r="L3" s="155"/>
      <c r="M3" s="155"/>
      <c r="N3" s="156"/>
      <c r="O3" s="182"/>
    </row>
    <row r="4" spans="1:15" s="149" customFormat="1" ht="23.25" customHeight="1">
      <c r="A4" s="157" t="s">
        <v>214</v>
      </c>
      <c r="B4" s="157" t="s">
        <v>5</v>
      </c>
      <c r="C4" s="157" t="s">
        <v>6</v>
      </c>
      <c r="D4" s="157" t="s">
        <v>7</v>
      </c>
      <c r="E4" s="235" t="s">
        <v>8</v>
      </c>
      <c r="F4" s="235"/>
      <c r="G4" s="235"/>
      <c r="H4" s="159" t="s">
        <v>139</v>
      </c>
      <c r="I4" s="155"/>
      <c r="J4" s="155"/>
      <c r="K4" s="155"/>
      <c r="L4" s="155"/>
      <c r="M4" s="155"/>
      <c r="N4" s="156"/>
      <c r="O4" s="182"/>
    </row>
    <row r="5" spans="1:8" ht="27.75" customHeight="1">
      <c r="A5" s="157"/>
      <c r="B5" s="157"/>
      <c r="C5" s="157"/>
      <c r="D5" s="157"/>
      <c r="E5" s="157" t="s">
        <v>10</v>
      </c>
      <c r="F5" s="157" t="s">
        <v>138</v>
      </c>
      <c r="G5" s="157" t="s">
        <v>97</v>
      </c>
      <c r="H5" s="178"/>
    </row>
    <row r="6" spans="1:15" s="150" customFormat="1" ht="22.5" customHeight="1">
      <c r="A6" s="158" t="s">
        <v>215</v>
      </c>
      <c r="B6" s="431">
        <f>B7+B9+B10+B8</f>
        <v>3824</v>
      </c>
      <c r="C6" s="431">
        <f>C7+C9+C10+C8</f>
        <v>5000</v>
      </c>
      <c r="D6" s="431"/>
      <c r="E6" s="431"/>
      <c r="F6" s="165"/>
      <c r="G6" s="175"/>
      <c r="H6" s="162"/>
      <c r="L6" s="151"/>
      <c r="M6" s="151"/>
      <c r="N6" s="151"/>
      <c r="O6" s="149"/>
    </row>
    <row r="7" spans="1:15" s="150" customFormat="1" ht="22.5" customHeight="1">
      <c r="A7" s="168" t="s">
        <v>216</v>
      </c>
      <c r="B7" s="164">
        <v>3824</v>
      </c>
      <c r="C7" s="432">
        <v>1000</v>
      </c>
      <c r="D7" s="433"/>
      <c r="E7" s="160"/>
      <c r="F7" s="165"/>
      <c r="G7" s="175"/>
      <c r="H7" s="434"/>
      <c r="L7" s="151"/>
      <c r="M7" s="151"/>
      <c r="N7" s="151"/>
      <c r="O7" s="149"/>
    </row>
    <row r="8" spans="1:15" s="150" customFormat="1" ht="22.5" customHeight="1">
      <c r="A8" s="168" t="s">
        <v>217</v>
      </c>
      <c r="B8" s="164"/>
      <c r="C8" s="432">
        <v>1800</v>
      </c>
      <c r="D8" s="433"/>
      <c r="E8" s="160"/>
      <c r="F8" s="165"/>
      <c r="G8" s="175"/>
      <c r="H8" s="434"/>
      <c r="L8" s="151"/>
      <c r="M8" s="151"/>
      <c r="N8" s="151"/>
      <c r="O8" s="149"/>
    </row>
    <row r="9" spans="1:15" s="150" customFormat="1" ht="22.5" customHeight="1">
      <c r="A9" s="168" t="s">
        <v>218</v>
      </c>
      <c r="B9" s="164"/>
      <c r="C9" s="432">
        <v>2200</v>
      </c>
      <c r="D9" s="433"/>
      <c r="E9" s="160"/>
      <c r="F9" s="165"/>
      <c r="G9" s="175"/>
      <c r="H9" s="434"/>
      <c r="L9" s="151"/>
      <c r="M9" s="151"/>
      <c r="N9" s="151"/>
      <c r="O9" s="149"/>
    </row>
    <row r="10" spans="1:15" s="150" customFormat="1" ht="22.5" customHeight="1">
      <c r="A10" s="168" t="s">
        <v>219</v>
      </c>
      <c r="B10" s="164"/>
      <c r="C10" s="432"/>
      <c r="D10" s="433"/>
      <c r="E10" s="160"/>
      <c r="F10" s="165"/>
      <c r="G10" s="175"/>
      <c r="H10" s="434"/>
      <c r="L10" s="151"/>
      <c r="M10" s="151"/>
      <c r="N10" s="151"/>
      <c r="O10" s="149"/>
    </row>
    <row r="11" spans="1:15" s="150" customFormat="1" ht="22.5" customHeight="1">
      <c r="A11" s="158" t="s">
        <v>220</v>
      </c>
      <c r="B11" s="164"/>
      <c r="C11" s="432"/>
      <c r="D11" s="433"/>
      <c r="E11" s="160"/>
      <c r="F11" s="165"/>
      <c r="G11" s="175"/>
      <c r="H11" s="434"/>
      <c r="L11" s="151"/>
      <c r="M11" s="151"/>
      <c r="N11" s="151"/>
      <c r="O11" s="149"/>
    </row>
    <row r="12" spans="1:8" ht="22.5" customHeight="1">
      <c r="A12" s="168" t="s">
        <v>221</v>
      </c>
      <c r="B12" s="435"/>
      <c r="C12" s="432"/>
      <c r="D12" s="433"/>
      <c r="E12" s="160"/>
      <c r="F12" s="165"/>
      <c r="G12" s="175"/>
      <c r="H12" s="167"/>
    </row>
    <row r="13" spans="1:8" ht="22.5" customHeight="1">
      <c r="A13" s="168"/>
      <c r="B13" s="435"/>
      <c r="C13" s="432"/>
      <c r="D13" s="433"/>
      <c r="E13" s="160"/>
      <c r="F13" s="165"/>
      <c r="G13" s="175"/>
      <c r="H13" s="167"/>
    </row>
    <row r="14" spans="1:14" s="149" customFormat="1" ht="22.5" customHeight="1">
      <c r="A14" s="169" t="s">
        <v>223</v>
      </c>
      <c r="B14" s="164">
        <f>SUM(B6,B11,B12)</f>
        <v>3824</v>
      </c>
      <c r="C14" s="432">
        <f>C6+C11+C12</f>
        <v>5000</v>
      </c>
      <c r="D14" s="433"/>
      <c r="E14" s="160"/>
      <c r="F14" s="165"/>
      <c r="G14" s="175"/>
      <c r="H14" s="167"/>
      <c r="I14" s="150"/>
      <c r="J14" s="150"/>
      <c r="K14" s="150"/>
      <c r="L14" s="151"/>
      <c r="M14" s="151"/>
      <c r="N14" s="151"/>
    </row>
    <row r="15" spans="1:14" s="149" customFormat="1" ht="22.5" customHeight="1">
      <c r="A15" s="169"/>
      <c r="B15" s="164"/>
      <c r="C15" s="432"/>
      <c r="D15" s="433"/>
      <c r="E15" s="160"/>
      <c r="F15" s="165"/>
      <c r="G15" s="175"/>
      <c r="H15" s="167"/>
      <c r="I15" s="150"/>
      <c r="J15" s="150"/>
      <c r="K15" s="150"/>
      <c r="L15" s="151"/>
      <c r="M15" s="151"/>
      <c r="N15" s="151"/>
    </row>
    <row r="16" spans="1:15" s="150" customFormat="1" ht="22.5" customHeight="1">
      <c r="A16" s="163" t="s">
        <v>224</v>
      </c>
      <c r="B16" s="164">
        <v>14</v>
      </c>
      <c r="C16" s="432"/>
      <c r="D16" s="433">
        <v>6693</v>
      </c>
      <c r="E16" s="160">
        <v>6693</v>
      </c>
      <c r="F16" s="165">
        <f>E16/D16*100</f>
        <v>100</v>
      </c>
      <c r="G16" s="175"/>
      <c r="H16" s="167"/>
      <c r="L16" s="151"/>
      <c r="M16" s="151"/>
      <c r="N16" s="151"/>
      <c r="O16" s="149"/>
    </row>
    <row r="17" spans="1:15" s="150" customFormat="1" ht="22.5" customHeight="1">
      <c r="A17" s="163" t="s">
        <v>225</v>
      </c>
      <c r="B17" s="164">
        <v>19</v>
      </c>
      <c r="C17" s="432"/>
      <c r="D17" s="433"/>
      <c r="E17" s="160"/>
      <c r="F17" s="165"/>
      <c r="G17" s="175"/>
      <c r="H17" s="167"/>
      <c r="L17" s="151"/>
      <c r="M17" s="151"/>
      <c r="N17" s="151"/>
      <c r="O17" s="149"/>
    </row>
    <row r="18" spans="1:8" ht="22.5" customHeight="1">
      <c r="A18" s="168"/>
      <c r="B18" s="164"/>
      <c r="C18" s="432"/>
      <c r="D18" s="433"/>
      <c r="E18" s="160"/>
      <c r="F18" s="165"/>
      <c r="G18" s="175"/>
      <c r="H18" s="167"/>
    </row>
    <row r="19" spans="1:8" ht="22.5" customHeight="1">
      <c r="A19" s="169" t="s">
        <v>48</v>
      </c>
      <c r="B19" s="178">
        <f>SUM(B14:B17)</f>
        <v>3857</v>
      </c>
      <c r="C19" s="178">
        <f>SUM(C14:C17)</f>
        <v>5000</v>
      </c>
      <c r="D19" s="178">
        <f>SUM(D14:D17)</f>
        <v>6693</v>
      </c>
      <c r="E19" s="178">
        <f>SUM(E14:E17)</f>
        <v>6693</v>
      </c>
      <c r="F19" s="165">
        <f>E19/D19*100</f>
        <v>100</v>
      </c>
      <c r="G19" s="175">
        <f>(E19/B19-1)*100</f>
        <v>73.52864920922997</v>
      </c>
      <c r="H19" s="167"/>
    </row>
    <row r="20" spans="1:15" s="149" customFormat="1" ht="21" customHeight="1">
      <c r="A20" s="157" t="s">
        <v>226</v>
      </c>
      <c r="B20" s="157" t="s">
        <v>5</v>
      </c>
      <c r="C20" s="157" t="s">
        <v>6</v>
      </c>
      <c r="D20" s="178" t="s">
        <v>7</v>
      </c>
      <c r="E20" s="235" t="s">
        <v>8</v>
      </c>
      <c r="F20" s="235"/>
      <c r="G20" s="235"/>
      <c r="H20" s="157" t="s">
        <v>139</v>
      </c>
      <c r="I20" s="155"/>
      <c r="J20" s="155"/>
      <c r="K20" s="155"/>
      <c r="L20" s="155"/>
      <c r="M20" s="155"/>
      <c r="N20" s="156"/>
      <c r="O20" s="182"/>
    </row>
    <row r="21" spans="1:8" ht="28.5" customHeight="1">
      <c r="A21" s="157"/>
      <c r="B21" s="157"/>
      <c r="C21" s="157"/>
      <c r="D21" s="157"/>
      <c r="E21" s="157" t="s">
        <v>10</v>
      </c>
      <c r="F21" s="157" t="s">
        <v>138</v>
      </c>
      <c r="G21" s="157" t="s">
        <v>97</v>
      </c>
      <c r="H21" s="157"/>
    </row>
    <row r="22" spans="1:15" s="150" customFormat="1" ht="22.5" customHeight="1">
      <c r="A22" s="163" t="s">
        <v>227</v>
      </c>
      <c r="B22" s="164">
        <v>45</v>
      </c>
      <c r="C22" s="160">
        <v>40</v>
      </c>
      <c r="D22" s="159">
        <v>12</v>
      </c>
      <c r="E22" s="169">
        <v>12</v>
      </c>
      <c r="F22" s="165">
        <f>E22/D22*100</f>
        <v>100</v>
      </c>
      <c r="G22" s="175">
        <f>(E22/B22-1)*100</f>
        <v>-73.33333333333334</v>
      </c>
      <c r="H22" s="166"/>
      <c r="L22" s="151"/>
      <c r="M22" s="151"/>
      <c r="N22" s="151"/>
      <c r="O22" s="149"/>
    </row>
    <row r="23" spans="1:15" s="150" customFormat="1" ht="22.5" customHeight="1">
      <c r="A23" s="163" t="s">
        <v>228</v>
      </c>
      <c r="B23" s="164">
        <v>2608</v>
      </c>
      <c r="C23" s="160">
        <v>3660</v>
      </c>
      <c r="D23" s="164"/>
      <c r="E23" s="169"/>
      <c r="F23" s="165"/>
      <c r="G23" s="175"/>
      <c r="H23" s="166"/>
      <c r="L23" s="151"/>
      <c r="M23" s="151"/>
      <c r="N23" s="151"/>
      <c r="O23" s="149"/>
    </row>
    <row r="24" spans="1:15" s="150" customFormat="1" ht="22.5" customHeight="1">
      <c r="A24" s="163" t="s">
        <v>229</v>
      </c>
      <c r="B24" s="164"/>
      <c r="C24" s="160"/>
      <c r="D24" s="164"/>
      <c r="E24" s="169"/>
      <c r="F24" s="165"/>
      <c r="G24" s="175"/>
      <c r="H24" s="166"/>
      <c r="L24" s="151"/>
      <c r="M24" s="151"/>
      <c r="N24" s="151"/>
      <c r="O24" s="149"/>
    </row>
    <row r="25" spans="1:15" s="150" customFormat="1" ht="22.5" customHeight="1">
      <c r="A25" s="163" t="s">
        <v>230</v>
      </c>
      <c r="B25" s="164">
        <v>800</v>
      </c>
      <c r="C25" s="160">
        <v>800</v>
      </c>
      <c r="D25" s="164">
        <v>940</v>
      </c>
      <c r="E25" s="169">
        <v>940</v>
      </c>
      <c r="F25" s="165">
        <f>E25/D25*100</f>
        <v>100</v>
      </c>
      <c r="G25" s="175">
        <f>(E25/B25-1)*100</f>
        <v>17.500000000000004</v>
      </c>
      <c r="H25" s="166"/>
      <c r="L25" s="151"/>
      <c r="M25" s="151"/>
      <c r="N25" s="151"/>
      <c r="O25" s="149"/>
    </row>
    <row r="26" spans="1:15" s="150" customFormat="1" ht="22.5" customHeight="1">
      <c r="A26" s="163"/>
      <c r="B26" s="164"/>
      <c r="C26" s="160"/>
      <c r="D26" s="169"/>
      <c r="E26" s="169"/>
      <c r="F26" s="165"/>
      <c r="G26" s="175"/>
      <c r="H26" s="166"/>
      <c r="L26" s="151"/>
      <c r="M26" s="151"/>
      <c r="N26" s="151"/>
      <c r="O26" s="149"/>
    </row>
    <row r="27" spans="1:14" s="149" customFormat="1" ht="22.5" customHeight="1">
      <c r="A27" s="169" t="s">
        <v>231</v>
      </c>
      <c r="B27" s="164">
        <f>SUM(B22:B25)</f>
        <v>3453</v>
      </c>
      <c r="C27" s="169">
        <f>SUM(C22:C25)</f>
        <v>4500</v>
      </c>
      <c r="D27" s="169">
        <f>SUM(D22:D25)</f>
        <v>952</v>
      </c>
      <c r="E27" s="169">
        <f>SUM(E22:E25)</f>
        <v>952</v>
      </c>
      <c r="F27" s="165">
        <f>E27/D27*100</f>
        <v>100</v>
      </c>
      <c r="G27" s="175">
        <f>(E27/B27-1)*100</f>
        <v>-72.42977121343759</v>
      </c>
      <c r="H27" s="434"/>
      <c r="I27" s="150"/>
      <c r="J27" s="150"/>
      <c r="K27" s="150"/>
      <c r="L27" s="151"/>
      <c r="M27" s="151"/>
      <c r="N27" s="151"/>
    </row>
    <row r="28" spans="1:14" s="149" customFormat="1" ht="22.5" customHeight="1">
      <c r="A28" s="169"/>
      <c r="B28" s="164"/>
      <c r="C28" s="160"/>
      <c r="D28" s="169"/>
      <c r="E28" s="169"/>
      <c r="F28" s="165"/>
      <c r="G28" s="175"/>
      <c r="H28" s="434"/>
      <c r="I28" s="150"/>
      <c r="J28" s="150"/>
      <c r="K28" s="150"/>
      <c r="L28" s="151"/>
      <c r="M28" s="151"/>
      <c r="N28" s="151"/>
    </row>
    <row r="29" spans="1:14" s="149" customFormat="1" ht="22.5" customHeight="1">
      <c r="A29" s="168" t="s">
        <v>232</v>
      </c>
      <c r="B29" s="164">
        <v>404</v>
      </c>
      <c r="C29" s="174">
        <v>500</v>
      </c>
      <c r="D29" s="432"/>
      <c r="E29" s="169"/>
      <c r="F29" s="165"/>
      <c r="G29" s="175"/>
      <c r="H29" s="166"/>
      <c r="I29" s="150"/>
      <c r="J29" s="150"/>
      <c r="K29" s="150"/>
      <c r="L29" s="151"/>
      <c r="M29" s="151"/>
      <c r="N29" s="151"/>
    </row>
    <row r="30" spans="1:14" s="149" customFormat="1" ht="22.5" customHeight="1">
      <c r="A30" s="168" t="s">
        <v>236</v>
      </c>
      <c r="B30" s="164"/>
      <c r="C30" s="436"/>
      <c r="D30" s="437">
        <v>5741</v>
      </c>
      <c r="E30" s="169">
        <v>5741</v>
      </c>
      <c r="F30" s="165">
        <f>E30/D30*100</f>
        <v>100</v>
      </c>
      <c r="G30" s="175"/>
      <c r="H30" s="176"/>
      <c r="I30" s="150"/>
      <c r="J30" s="150"/>
      <c r="K30" s="150"/>
      <c r="L30" s="151"/>
      <c r="M30" s="151"/>
      <c r="N30" s="151"/>
    </row>
    <row r="31" spans="1:14" s="149" customFormat="1" ht="22.5" customHeight="1">
      <c r="A31" s="168"/>
      <c r="B31" s="164"/>
      <c r="C31" s="436"/>
      <c r="D31" s="437"/>
      <c r="E31" s="169"/>
      <c r="F31" s="165"/>
      <c r="G31" s="175"/>
      <c r="H31" s="176"/>
      <c r="I31" s="150"/>
      <c r="J31" s="150"/>
      <c r="K31" s="150"/>
      <c r="L31" s="151"/>
      <c r="M31" s="151"/>
      <c r="N31" s="151"/>
    </row>
    <row r="32" spans="1:15" s="150" customFormat="1" ht="22.5" customHeight="1">
      <c r="A32" s="177" t="s">
        <v>93</v>
      </c>
      <c r="B32" s="178">
        <f>SUM(B27:B30)</f>
        <v>3857</v>
      </c>
      <c r="C32" s="178">
        <f>SUM(C27:C30)</f>
        <v>5000</v>
      </c>
      <c r="D32" s="178">
        <f>SUM(D27:D30)</f>
        <v>6693</v>
      </c>
      <c r="E32" s="178">
        <f>SUM(E27:E30)</f>
        <v>6693</v>
      </c>
      <c r="F32" s="180">
        <f>E32/D32*100</f>
        <v>100</v>
      </c>
      <c r="G32" s="438">
        <f>(E32/B32-1)*100</f>
        <v>73.52864920922997</v>
      </c>
      <c r="H32" s="181"/>
      <c r="L32" s="151"/>
      <c r="M32" s="151"/>
      <c r="N32" s="151"/>
      <c r="O32" s="149"/>
    </row>
  </sheetData>
  <sheetProtection/>
  <mergeCells count="14">
    <mergeCell ref="A2:H2"/>
    <mergeCell ref="A3:H3"/>
    <mergeCell ref="E4:G4"/>
    <mergeCell ref="E20:G20"/>
    <mergeCell ref="A4:A5"/>
    <mergeCell ref="A20:A21"/>
    <mergeCell ref="B4:B5"/>
    <mergeCell ref="B20:B21"/>
    <mergeCell ref="C4:C5"/>
    <mergeCell ref="C20:C21"/>
    <mergeCell ref="D4:D5"/>
    <mergeCell ref="D20:D21"/>
    <mergeCell ref="H4:H5"/>
    <mergeCell ref="H20:H21"/>
  </mergeCells>
  <printOptions horizontalCentered="1"/>
  <pageMargins left="0.59" right="0.59" top="0.75" bottom="0.9" header="0.31" footer="0.31"/>
  <pageSetup horizontalDpi="600" verticalDpi="600" orientation="portrait" paperSize="9" scale="95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H43"/>
  <sheetViews>
    <sheetView showZeros="0" view="pageBreakPreview" zoomScale="60" workbookViewId="0" topLeftCell="A1">
      <selection activeCell="A2" sqref="A2:F2"/>
    </sheetView>
  </sheetViews>
  <sheetFormatPr defaultColWidth="9.00390625" defaultRowHeight="14.25"/>
  <cols>
    <col min="1" max="1" width="32.875" style="80" customWidth="1"/>
    <col min="2" max="3" width="10.125" style="135" customWidth="1"/>
    <col min="4" max="4" width="10.125" style="81" customWidth="1"/>
    <col min="5" max="6" width="9.375" style="402" customWidth="1"/>
    <col min="7" max="7" width="10.875" style="79" customWidth="1"/>
    <col min="8" max="8" width="10.00390625" style="79" customWidth="1"/>
    <col min="9" max="16384" width="9.00390625" style="79" customWidth="1"/>
  </cols>
  <sheetData>
    <row r="1" spans="1:6" s="74" customFormat="1" ht="15.75" customHeight="1">
      <c r="A1" s="82" t="s">
        <v>237</v>
      </c>
      <c r="B1" s="137"/>
      <c r="C1" s="137"/>
      <c r="D1" s="84"/>
      <c r="E1" s="403"/>
      <c r="F1" s="403"/>
    </row>
    <row r="2" spans="1:6" ht="25.5" customHeight="1">
      <c r="A2" s="85" t="s">
        <v>238</v>
      </c>
      <c r="B2" s="85"/>
      <c r="C2" s="85"/>
      <c r="D2" s="85"/>
      <c r="E2" s="85"/>
      <c r="F2" s="85"/>
    </row>
    <row r="3" spans="2:6" s="76" customFormat="1" ht="21" customHeight="1">
      <c r="B3" s="117"/>
      <c r="C3" s="117"/>
      <c r="D3" s="86"/>
      <c r="E3" s="385"/>
      <c r="F3" s="385" t="s">
        <v>3</v>
      </c>
    </row>
    <row r="4" spans="1:6" s="77" customFormat="1" ht="21.75" customHeight="1">
      <c r="A4" s="386" t="s">
        <v>239</v>
      </c>
      <c r="B4" s="379" t="s">
        <v>5</v>
      </c>
      <c r="C4" s="379" t="s">
        <v>6</v>
      </c>
      <c r="D4" s="379" t="s">
        <v>8</v>
      </c>
      <c r="E4" s="379"/>
      <c r="F4" s="379"/>
    </row>
    <row r="5" spans="1:8" s="77" customFormat="1" ht="21.75" customHeight="1">
      <c r="A5" s="386"/>
      <c r="B5" s="379"/>
      <c r="C5" s="379"/>
      <c r="D5" s="379" t="s">
        <v>240</v>
      </c>
      <c r="E5" s="379" t="s">
        <v>241</v>
      </c>
      <c r="F5" s="379" t="s">
        <v>242</v>
      </c>
      <c r="H5" s="140"/>
    </row>
    <row r="6" spans="1:8" s="132" customFormat="1" ht="24" customHeight="1">
      <c r="A6" s="404" t="s">
        <v>243</v>
      </c>
      <c r="B6" s="405">
        <v>967503.019415</v>
      </c>
      <c r="C6" s="406">
        <v>1006484.949587</v>
      </c>
      <c r="D6" s="405">
        <v>1023940.00058</v>
      </c>
      <c r="E6" s="390">
        <f aca="true" t="shared" si="0" ref="E6:E15">(D6/C6)*100</f>
        <v>101.73425852022551</v>
      </c>
      <c r="F6" s="391">
        <f aca="true" t="shared" si="1" ref="F6:F15">(D6/B6-1)*100</f>
        <v>5.833261502287046</v>
      </c>
      <c r="G6" s="424"/>
      <c r="H6" s="140"/>
    </row>
    <row r="7" spans="1:8" s="133" customFormat="1" ht="24" customHeight="1">
      <c r="A7" s="408" t="s">
        <v>244</v>
      </c>
      <c r="B7" s="94">
        <v>689472.666009</v>
      </c>
      <c r="C7" s="407">
        <v>636919.10676</v>
      </c>
      <c r="D7" s="94">
        <v>692940.871741</v>
      </c>
      <c r="E7" s="392">
        <f t="shared" si="0"/>
        <v>108.79574256548561</v>
      </c>
      <c r="F7" s="393">
        <f t="shared" si="1"/>
        <v>0.503022948259213</v>
      </c>
      <c r="H7" s="140"/>
    </row>
    <row r="8" spans="1:8" s="133" customFormat="1" ht="24" customHeight="1">
      <c r="A8" s="408" t="s">
        <v>245</v>
      </c>
      <c r="B8" s="94">
        <v>12547.708122</v>
      </c>
      <c r="C8" s="407">
        <v>13323.68854</v>
      </c>
      <c r="D8" s="94">
        <v>16542.180684</v>
      </c>
      <c r="E8" s="392">
        <f t="shared" si="0"/>
        <v>124.15616467119848</v>
      </c>
      <c r="F8" s="393">
        <f t="shared" si="1"/>
        <v>31.834280198122066</v>
      </c>
      <c r="H8" s="140"/>
    </row>
    <row r="9" spans="1:6" s="133" customFormat="1" ht="24" customHeight="1">
      <c r="A9" s="408" t="s">
        <v>246</v>
      </c>
      <c r="B9" s="97">
        <v>228981.365029</v>
      </c>
      <c r="C9" s="407">
        <v>324654.786248</v>
      </c>
      <c r="D9" s="94">
        <v>290209.325814</v>
      </c>
      <c r="E9" s="392">
        <f t="shared" si="0"/>
        <v>89.39012702320443</v>
      </c>
      <c r="F9" s="393">
        <f t="shared" si="1"/>
        <v>26.73927669932685</v>
      </c>
    </row>
    <row r="10" spans="1:6" s="133" customFormat="1" ht="24" customHeight="1">
      <c r="A10" s="408" t="s">
        <v>247</v>
      </c>
      <c r="B10" s="97">
        <v>20721.222288</v>
      </c>
      <c r="C10" s="98">
        <v>21259.652288</v>
      </c>
      <c r="D10" s="97">
        <v>10903.319</v>
      </c>
      <c r="E10" s="392">
        <f t="shared" si="0"/>
        <v>51.28644087069275</v>
      </c>
      <c r="F10" s="393">
        <f t="shared" si="1"/>
        <v>-47.38090809288654</v>
      </c>
    </row>
    <row r="11" spans="1:8" s="133" customFormat="1" ht="24" customHeight="1">
      <c r="A11" s="409" t="s">
        <v>248</v>
      </c>
      <c r="B11" s="97">
        <v>331904.455475</v>
      </c>
      <c r="C11" s="98">
        <v>325705.001353</v>
      </c>
      <c r="D11" s="97">
        <v>320850.147524</v>
      </c>
      <c r="E11" s="392">
        <f t="shared" si="0"/>
        <v>98.50943221355749</v>
      </c>
      <c r="F11" s="393">
        <f t="shared" si="1"/>
        <v>-3.3305693155519123</v>
      </c>
      <c r="H11" s="140"/>
    </row>
    <row r="12" spans="1:6" s="133" customFormat="1" ht="24" customHeight="1">
      <c r="A12" s="409" t="s">
        <v>249</v>
      </c>
      <c r="B12" s="97">
        <v>286057.240718</v>
      </c>
      <c r="C12" s="98">
        <v>241629.099757</v>
      </c>
      <c r="D12" s="97">
        <v>261308.393524</v>
      </c>
      <c r="E12" s="392">
        <f t="shared" si="0"/>
        <v>108.14442208607777</v>
      </c>
      <c r="F12" s="393">
        <f t="shared" si="1"/>
        <v>-8.651711500775395</v>
      </c>
    </row>
    <row r="13" spans="1:6" s="133" customFormat="1" ht="24" customHeight="1">
      <c r="A13" s="409" t="s">
        <v>250</v>
      </c>
      <c r="B13" s="97">
        <v>5334.917031</v>
      </c>
      <c r="C13" s="98">
        <v>4371.104951</v>
      </c>
      <c r="D13" s="97">
        <v>3872</v>
      </c>
      <c r="E13" s="392">
        <f t="shared" si="0"/>
        <v>88.58172117588214</v>
      </c>
      <c r="F13" s="393">
        <f t="shared" si="1"/>
        <v>-27.4215516848588</v>
      </c>
    </row>
    <row r="14" spans="1:6" s="133" customFormat="1" ht="24" customHeight="1">
      <c r="A14" s="409" t="s">
        <v>251</v>
      </c>
      <c r="B14" s="97">
        <v>7567</v>
      </c>
      <c r="C14" s="98">
        <v>52719</v>
      </c>
      <c r="D14" s="97">
        <v>35473</v>
      </c>
      <c r="E14" s="392">
        <f t="shared" si="0"/>
        <v>67.28693639864186</v>
      </c>
      <c r="F14" s="393">
        <f t="shared" si="1"/>
        <v>368.7855160565614</v>
      </c>
    </row>
    <row r="15" spans="1:6" s="133" customFormat="1" ht="24" customHeight="1">
      <c r="A15" s="409" t="s">
        <v>252</v>
      </c>
      <c r="B15" s="97">
        <v>17537.5</v>
      </c>
      <c r="C15" s="98">
        <v>17537.5</v>
      </c>
      <c r="D15" s="97">
        <v>7230</v>
      </c>
      <c r="E15" s="392">
        <f t="shared" si="0"/>
        <v>41.22594440484676</v>
      </c>
      <c r="F15" s="393">
        <f t="shared" si="1"/>
        <v>-58.77405559515324</v>
      </c>
    </row>
    <row r="16" spans="1:8" s="133" customFormat="1" ht="24" customHeight="1">
      <c r="A16" s="409" t="s">
        <v>253</v>
      </c>
      <c r="B16" s="97">
        <v>104895.908124</v>
      </c>
      <c r="C16" s="98">
        <v>111826.869862</v>
      </c>
      <c r="D16" s="97">
        <v>124111.133117</v>
      </c>
      <c r="E16" s="392">
        <f aca="true" t="shared" si="2" ref="E16:E34">(D16/C16)*100</f>
        <v>110.98507297052971</v>
      </c>
      <c r="F16" s="393">
        <f aca="true" t="shared" si="3" ref="F16:F26">(D16/B16-1)*100</f>
        <v>18.31837422131397</v>
      </c>
      <c r="H16" s="140"/>
    </row>
    <row r="17" spans="1:6" s="133" customFormat="1" ht="24" customHeight="1">
      <c r="A17" s="409" t="s">
        <v>249</v>
      </c>
      <c r="B17" s="97">
        <v>43370.480091</v>
      </c>
      <c r="C17" s="98">
        <v>37122.143914</v>
      </c>
      <c r="D17" s="97">
        <v>51337.876817</v>
      </c>
      <c r="E17" s="392">
        <f t="shared" si="2"/>
        <v>138.29448249522778</v>
      </c>
      <c r="F17" s="393">
        <f t="shared" si="3"/>
        <v>18.370552295669306</v>
      </c>
    </row>
    <row r="18" spans="1:6" s="133" customFormat="1" ht="24" customHeight="1">
      <c r="A18" s="409" t="s">
        <v>250</v>
      </c>
      <c r="B18" s="97">
        <v>3289.645193</v>
      </c>
      <c r="C18" s="98">
        <v>4795.69</v>
      </c>
      <c r="D18" s="97">
        <v>4110</v>
      </c>
      <c r="E18" s="392">
        <f t="shared" si="2"/>
        <v>85.70195321215509</v>
      </c>
      <c r="F18" s="393">
        <f t="shared" si="3"/>
        <v>24.937485925400836</v>
      </c>
    </row>
    <row r="19" spans="1:6" s="133" customFormat="1" ht="24" customHeight="1">
      <c r="A19" s="410" t="s">
        <v>251</v>
      </c>
      <c r="B19" s="97">
        <v>58130.14185</v>
      </c>
      <c r="C19" s="98">
        <v>69833.100948</v>
      </c>
      <c r="D19" s="97">
        <v>68574.3563</v>
      </c>
      <c r="E19" s="392">
        <f t="shared" si="2"/>
        <v>98.1974956991566</v>
      </c>
      <c r="F19" s="393">
        <f t="shared" si="3"/>
        <v>17.966951597934223</v>
      </c>
    </row>
    <row r="20" spans="1:8" s="133" customFormat="1" ht="24" customHeight="1">
      <c r="A20" s="409" t="s">
        <v>254</v>
      </c>
      <c r="B20" s="97">
        <v>212258.93835</v>
      </c>
      <c r="C20" s="98">
        <v>230415.3656</v>
      </c>
      <c r="D20" s="97">
        <v>227029.644336</v>
      </c>
      <c r="E20" s="392">
        <f t="shared" si="2"/>
        <v>98.53060091926439</v>
      </c>
      <c r="F20" s="393">
        <f t="shared" si="3"/>
        <v>6.958814597312335</v>
      </c>
      <c r="H20" s="140"/>
    </row>
    <row r="21" spans="1:6" s="133" customFormat="1" ht="24" customHeight="1">
      <c r="A21" s="409" t="s">
        <v>249</v>
      </c>
      <c r="B21" s="97">
        <v>171135.218012</v>
      </c>
      <c r="C21" s="98">
        <v>171058.1696</v>
      </c>
      <c r="D21" s="97">
        <v>175874.654752</v>
      </c>
      <c r="E21" s="392">
        <f t="shared" si="2"/>
        <v>102.81570015817591</v>
      </c>
      <c r="F21" s="393">
        <f t="shared" si="3"/>
        <v>2.7694105252302093</v>
      </c>
    </row>
    <row r="22" spans="1:6" s="133" customFormat="1" ht="24" customHeight="1">
      <c r="A22" s="409" t="s">
        <v>250</v>
      </c>
      <c r="B22" s="97">
        <v>337.300855</v>
      </c>
      <c r="C22" s="98">
        <v>316</v>
      </c>
      <c r="D22" s="97">
        <v>306</v>
      </c>
      <c r="E22" s="392">
        <f t="shared" si="2"/>
        <v>96.83544303797468</v>
      </c>
      <c r="F22" s="393">
        <f t="shared" si="3"/>
        <v>-9.279803041115919</v>
      </c>
    </row>
    <row r="23" spans="1:6" s="133" customFormat="1" ht="24" customHeight="1">
      <c r="A23" s="409" t="s">
        <v>251</v>
      </c>
      <c r="B23" s="97">
        <v>40758.685179</v>
      </c>
      <c r="C23" s="98">
        <v>58437.5873</v>
      </c>
      <c r="D23" s="97">
        <v>50757.880628</v>
      </c>
      <c r="E23" s="392">
        <f t="shared" si="2"/>
        <v>86.85827559482422</v>
      </c>
      <c r="F23" s="393">
        <f t="shared" si="3"/>
        <v>24.532674214309203</v>
      </c>
    </row>
    <row r="24" spans="1:8" s="133" customFormat="1" ht="24" customHeight="1">
      <c r="A24" s="409" t="s">
        <v>255</v>
      </c>
      <c r="B24" s="97">
        <v>115593.848779</v>
      </c>
      <c r="C24" s="98">
        <v>123676.127191</v>
      </c>
      <c r="D24" s="97">
        <v>133311.985413</v>
      </c>
      <c r="E24" s="392">
        <f t="shared" si="2"/>
        <v>107.79120307277958</v>
      </c>
      <c r="F24" s="393">
        <f t="shared" si="3"/>
        <v>15.32792343291094</v>
      </c>
      <c r="H24" s="140"/>
    </row>
    <row r="25" spans="1:6" s="133" customFormat="1" ht="24" customHeight="1">
      <c r="A25" s="409" t="s">
        <v>249</v>
      </c>
      <c r="B25" s="97">
        <v>114333.045404</v>
      </c>
      <c r="C25" s="98">
        <v>114782.148768</v>
      </c>
      <c r="D25" s="97">
        <v>131043.151412</v>
      </c>
      <c r="E25" s="392">
        <f t="shared" si="2"/>
        <v>114.16683937226779</v>
      </c>
      <c r="F25" s="393">
        <f t="shared" si="3"/>
        <v>14.615289874379034</v>
      </c>
    </row>
    <row r="26" spans="1:6" s="133" customFormat="1" ht="24" customHeight="1">
      <c r="A26" s="410" t="s">
        <v>250</v>
      </c>
      <c r="B26" s="97">
        <v>1241.766502</v>
      </c>
      <c r="C26" s="98">
        <v>1086.978423</v>
      </c>
      <c r="D26" s="97">
        <v>2261.834001</v>
      </c>
      <c r="E26" s="392">
        <f t="shared" si="2"/>
        <v>208.08453536340346</v>
      </c>
      <c r="F26" s="393">
        <f t="shared" si="3"/>
        <v>82.14648223776939</v>
      </c>
    </row>
    <row r="27" spans="1:6" s="133" customFormat="1" ht="24" customHeight="1">
      <c r="A27" s="425" t="s">
        <v>251</v>
      </c>
      <c r="B27" s="128">
        <v>0</v>
      </c>
      <c r="C27" s="426">
        <v>7800</v>
      </c>
      <c r="D27" s="128">
        <v>0</v>
      </c>
      <c r="E27" s="395">
        <f t="shared" si="2"/>
        <v>0</v>
      </c>
      <c r="F27" s="396">
        <v>0</v>
      </c>
    </row>
    <row r="28" spans="1:8" s="133" customFormat="1" ht="27" customHeight="1">
      <c r="A28" s="427" t="s">
        <v>256</v>
      </c>
      <c r="B28" s="97">
        <v>170484.525759</v>
      </c>
      <c r="C28" s="98">
        <v>183412.232734</v>
      </c>
      <c r="D28" s="97">
        <v>178728.668683</v>
      </c>
      <c r="E28" s="392">
        <f t="shared" si="2"/>
        <v>97.44642765578647</v>
      </c>
      <c r="F28" s="393">
        <f aca="true" t="shared" si="4" ref="F28:F34">(D28/B28-1)*100</f>
        <v>4.835713321955137</v>
      </c>
      <c r="H28" s="140"/>
    </row>
    <row r="29" spans="1:6" s="133" customFormat="1" ht="27" customHeight="1">
      <c r="A29" s="427" t="s">
        <v>249</v>
      </c>
      <c r="B29" s="97">
        <v>47192.04295</v>
      </c>
      <c r="C29" s="98">
        <v>46892.208</v>
      </c>
      <c r="D29" s="97">
        <v>42752.517395</v>
      </c>
      <c r="E29" s="392">
        <f t="shared" si="2"/>
        <v>91.17190087316854</v>
      </c>
      <c r="F29" s="393">
        <f t="shared" si="4"/>
        <v>-9.407360388495324</v>
      </c>
    </row>
    <row r="30" spans="1:6" s="133" customFormat="1" ht="27" customHeight="1">
      <c r="A30" s="428" t="s">
        <v>250</v>
      </c>
      <c r="B30" s="97">
        <v>766.944809</v>
      </c>
      <c r="C30" s="98">
        <v>904.926734</v>
      </c>
      <c r="D30" s="97">
        <v>572.062402</v>
      </c>
      <c r="E30" s="392">
        <f t="shared" si="2"/>
        <v>63.21643294494602</v>
      </c>
      <c r="F30" s="393">
        <f t="shared" si="4"/>
        <v>-25.41022570504157</v>
      </c>
    </row>
    <row r="31" spans="1:6" s="133" customFormat="1" ht="27" customHeight="1">
      <c r="A31" s="427" t="s">
        <v>251</v>
      </c>
      <c r="B31" s="97">
        <v>122525.538</v>
      </c>
      <c r="C31" s="98">
        <v>135615.098</v>
      </c>
      <c r="D31" s="97">
        <v>135404.088886</v>
      </c>
      <c r="E31" s="392">
        <f t="shared" si="2"/>
        <v>99.84440588318567</v>
      </c>
      <c r="F31" s="393">
        <f t="shared" si="4"/>
        <v>10.510911517891074</v>
      </c>
    </row>
    <row r="32" spans="1:8" s="133" customFormat="1" ht="27" customHeight="1">
      <c r="A32" s="411" t="s">
        <v>257</v>
      </c>
      <c r="B32" s="142">
        <v>7879.811946</v>
      </c>
      <c r="C32" s="412">
        <v>7950.747378</v>
      </c>
      <c r="D32" s="142">
        <v>9807.680337</v>
      </c>
      <c r="E32" s="392">
        <f t="shared" si="2"/>
        <v>123.35545164141675</v>
      </c>
      <c r="F32" s="393">
        <f t="shared" si="4"/>
        <v>24.465918783488693</v>
      </c>
      <c r="H32" s="140"/>
    </row>
    <row r="33" spans="1:6" s="133" customFormat="1" ht="27" customHeight="1">
      <c r="A33" s="411" t="s">
        <v>249</v>
      </c>
      <c r="B33" s="142">
        <v>7556.295375</v>
      </c>
      <c r="C33" s="412">
        <v>7570.32605000001</v>
      </c>
      <c r="D33" s="142">
        <v>8819.245835</v>
      </c>
      <c r="E33" s="392">
        <f t="shared" si="2"/>
        <v>116.49756928236914</v>
      </c>
      <c r="F33" s="393">
        <f t="shared" si="4"/>
        <v>16.713884216046804</v>
      </c>
    </row>
    <row r="34" spans="1:6" s="133" customFormat="1" ht="27" customHeight="1">
      <c r="A34" s="411" t="s">
        <v>250</v>
      </c>
      <c r="B34" s="142">
        <v>323.516571</v>
      </c>
      <c r="C34" s="412">
        <v>380.421328</v>
      </c>
      <c r="D34" s="142">
        <v>988.434502</v>
      </c>
      <c r="E34" s="392">
        <f t="shared" si="2"/>
        <v>259.8262582165214</v>
      </c>
      <c r="F34" s="393">
        <f t="shared" si="4"/>
        <v>205.52824510494702</v>
      </c>
    </row>
    <row r="35" spans="1:8" s="133" customFormat="1" ht="27" customHeight="1">
      <c r="A35" s="411" t="s">
        <v>258</v>
      </c>
      <c r="B35" s="142">
        <v>20679.006085</v>
      </c>
      <c r="C35" s="412">
        <v>19221.003507</v>
      </c>
      <c r="D35" s="142">
        <v>25942.980885</v>
      </c>
      <c r="E35" s="392">
        <f aca="true" t="shared" si="5" ref="E35:E42">(D35/C35)*100</f>
        <v>134.97204178518544</v>
      </c>
      <c r="F35" s="393">
        <f aca="true" t="shared" si="6" ref="F35:F41">(D35/B35-1)*100</f>
        <v>25.455647038173403</v>
      </c>
      <c r="H35" s="140"/>
    </row>
    <row r="36" spans="1:6" s="133" customFormat="1" ht="27" customHeight="1">
      <c r="A36" s="411" t="s">
        <v>249</v>
      </c>
      <c r="B36" s="142">
        <v>16329.293554</v>
      </c>
      <c r="C36" s="412">
        <v>14126.00186</v>
      </c>
      <c r="D36" s="142">
        <v>18069.57</v>
      </c>
      <c r="E36" s="392">
        <f t="shared" si="5"/>
        <v>127.91708637082112</v>
      </c>
      <c r="F36" s="393">
        <f t="shared" si="6"/>
        <v>10.657389679749517</v>
      </c>
    </row>
    <row r="37" spans="1:6" s="133" customFormat="1" ht="27" customHeight="1">
      <c r="A37" s="411" t="s">
        <v>250</v>
      </c>
      <c r="B37" s="142">
        <v>946.142169</v>
      </c>
      <c r="C37" s="412">
        <v>1179.973953</v>
      </c>
      <c r="D37" s="142">
        <v>4009.5515</v>
      </c>
      <c r="E37" s="392">
        <f t="shared" si="5"/>
        <v>339.8000006530653</v>
      </c>
      <c r="F37" s="393">
        <f t="shared" si="6"/>
        <v>323.7789659283224</v>
      </c>
    </row>
    <row r="38" spans="1:6" s="133" customFormat="1" ht="27" customHeight="1">
      <c r="A38" s="409" t="s">
        <v>252</v>
      </c>
      <c r="B38" s="97">
        <v>3183.722288</v>
      </c>
      <c r="C38" s="98">
        <v>3722.152288</v>
      </c>
      <c r="D38" s="97">
        <v>3673.319</v>
      </c>
      <c r="E38" s="392">
        <f t="shared" si="5"/>
        <v>98.68803626983679</v>
      </c>
      <c r="F38" s="393">
        <f t="shared" si="6"/>
        <v>15.378122452620158</v>
      </c>
    </row>
    <row r="39" spans="1:8" s="133" customFormat="1" ht="27" customHeight="1">
      <c r="A39" s="411" t="s">
        <v>259</v>
      </c>
      <c r="B39" s="142">
        <v>3806.524897</v>
      </c>
      <c r="C39" s="412">
        <v>4277.601962</v>
      </c>
      <c r="D39" s="142">
        <v>4157.760285</v>
      </c>
      <c r="E39" s="392">
        <f t="shared" si="5"/>
        <v>97.19839110640469</v>
      </c>
      <c r="F39" s="393">
        <f t="shared" si="6"/>
        <v>9.227192715245769</v>
      </c>
      <c r="H39" s="140"/>
    </row>
    <row r="40" spans="1:6" s="133" customFormat="1" ht="27" customHeight="1">
      <c r="A40" s="411" t="s">
        <v>249</v>
      </c>
      <c r="B40" s="142">
        <v>3499.049905</v>
      </c>
      <c r="C40" s="412">
        <v>3739.008811</v>
      </c>
      <c r="D40" s="142">
        <v>3735.462006</v>
      </c>
      <c r="E40" s="392">
        <f t="shared" si="5"/>
        <v>99.90514050168683</v>
      </c>
      <c r="F40" s="393">
        <f t="shared" si="6"/>
        <v>6.75646553832161</v>
      </c>
    </row>
    <row r="41" spans="1:6" s="133" customFormat="1" ht="27" customHeight="1">
      <c r="A41" s="411" t="s">
        <v>250</v>
      </c>
      <c r="B41" s="142">
        <v>307.474992</v>
      </c>
      <c r="C41" s="412">
        <v>288.593151</v>
      </c>
      <c r="D41" s="142">
        <v>422.298279</v>
      </c>
      <c r="E41" s="392">
        <f t="shared" si="5"/>
        <v>146.32997267492325</v>
      </c>
      <c r="F41" s="393">
        <f t="shared" si="6"/>
        <v>37.343943405973</v>
      </c>
    </row>
    <row r="42" spans="1:6" s="133" customFormat="1" ht="27" customHeight="1">
      <c r="A42" s="413" t="s">
        <v>251</v>
      </c>
      <c r="B42" s="144">
        <v>0</v>
      </c>
      <c r="C42" s="414">
        <v>250</v>
      </c>
      <c r="D42" s="144">
        <v>0</v>
      </c>
      <c r="E42" s="395">
        <f t="shared" si="5"/>
        <v>0</v>
      </c>
      <c r="F42" s="396">
        <v>0</v>
      </c>
    </row>
    <row r="43" s="134" customFormat="1" ht="36" customHeight="1">
      <c r="A43" s="134" t="s">
        <v>260</v>
      </c>
    </row>
  </sheetData>
  <sheetProtection/>
  <mergeCells count="6">
    <mergeCell ref="A2:F2"/>
    <mergeCell ref="D4:F4"/>
    <mergeCell ref="A43:F43"/>
    <mergeCell ref="A4:A5"/>
    <mergeCell ref="B4:B5"/>
    <mergeCell ref="C4:C5"/>
  </mergeCells>
  <printOptions horizontalCentered="1"/>
  <pageMargins left="0.33" right="0.33" top="0.75" bottom="0.9" header="0.3" footer="0.3"/>
  <pageSetup horizontalDpi="600" verticalDpi="600" orientation="portrait" paperSize="9"/>
  <rowBreaks count="1" manualBreakCount="1">
    <brk id="27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F37"/>
  <sheetViews>
    <sheetView showZeros="0" view="pageBreakPreview" zoomScale="60" zoomScaleNormal="70" workbookViewId="0" topLeftCell="A1">
      <selection activeCell="A2" sqref="A2:F2"/>
    </sheetView>
  </sheetViews>
  <sheetFormatPr defaultColWidth="9.00390625" defaultRowHeight="14.25"/>
  <cols>
    <col min="1" max="1" width="29.875" style="112" customWidth="1"/>
    <col min="2" max="3" width="10.25390625" style="113" customWidth="1"/>
    <col min="4" max="4" width="10.25390625" style="114" customWidth="1"/>
    <col min="5" max="6" width="10.25390625" style="382" customWidth="1"/>
    <col min="7" max="16384" width="9.00390625" style="115" customWidth="1"/>
  </cols>
  <sheetData>
    <row r="1" spans="1:6" s="106" customFormat="1" ht="21.75" customHeight="1">
      <c r="A1" s="82" t="s">
        <v>261</v>
      </c>
      <c r="B1" s="116"/>
      <c r="C1" s="116"/>
      <c r="D1" s="116"/>
      <c r="E1" s="383"/>
      <c r="F1" s="384"/>
    </row>
    <row r="2" spans="1:6" s="381" customFormat="1" ht="21.75" customHeight="1">
      <c r="A2" s="85" t="s">
        <v>262</v>
      </c>
      <c r="B2" s="85"/>
      <c r="C2" s="85"/>
      <c r="D2" s="85"/>
      <c r="E2" s="85"/>
      <c r="F2" s="85"/>
    </row>
    <row r="3" spans="1:6" s="108" customFormat="1" ht="20.25" customHeight="1">
      <c r="A3" s="76"/>
      <c r="B3" s="117"/>
      <c r="C3" s="117"/>
      <c r="D3" s="86"/>
      <c r="E3" s="385"/>
      <c r="F3" s="385" t="s">
        <v>3</v>
      </c>
    </row>
    <row r="4" spans="1:6" s="109" customFormat="1" ht="19.5" customHeight="1">
      <c r="A4" s="386" t="s">
        <v>239</v>
      </c>
      <c r="B4" s="379" t="s">
        <v>5</v>
      </c>
      <c r="C4" s="379" t="s">
        <v>6</v>
      </c>
      <c r="D4" s="379" t="s">
        <v>8</v>
      </c>
      <c r="E4" s="379"/>
      <c r="F4" s="379"/>
    </row>
    <row r="5" spans="1:6" s="109" customFormat="1" ht="19.5" customHeight="1">
      <c r="A5" s="386"/>
      <c r="B5" s="379"/>
      <c r="C5" s="379"/>
      <c r="D5" s="379" t="s">
        <v>240</v>
      </c>
      <c r="E5" s="379" t="s">
        <v>241</v>
      </c>
      <c r="F5" s="379" t="s">
        <v>242</v>
      </c>
    </row>
    <row r="6" spans="1:6" s="110" customFormat="1" ht="18.75" customHeight="1">
      <c r="A6" s="420" t="s">
        <v>263</v>
      </c>
      <c r="B6" s="388">
        <v>891374.325277</v>
      </c>
      <c r="C6" s="389">
        <v>989150.476159</v>
      </c>
      <c r="D6" s="388">
        <v>1003642.889415</v>
      </c>
      <c r="E6" s="390">
        <f aca="true" t="shared" si="0" ref="E6:E13">(D6/C6)*100</f>
        <v>101.4651373684089</v>
      </c>
      <c r="F6" s="391">
        <f aca="true" t="shared" si="1" ref="F6:F13">(D6/B6-1)*100</f>
        <v>12.594996395382129</v>
      </c>
    </row>
    <row r="7" spans="1:6" s="111" customFormat="1" ht="18.75" customHeight="1">
      <c r="A7" s="121" t="s">
        <v>264</v>
      </c>
      <c r="B7" s="97">
        <v>875255.622014</v>
      </c>
      <c r="C7" s="98">
        <v>961124.803273</v>
      </c>
      <c r="D7" s="97">
        <v>977987.721315</v>
      </c>
      <c r="E7" s="392">
        <f t="shared" si="0"/>
        <v>101.75449826958737</v>
      </c>
      <c r="F7" s="393">
        <f t="shared" si="1"/>
        <v>11.737382396311723</v>
      </c>
    </row>
    <row r="8" spans="1:6" s="111" customFormat="1" ht="18.75" customHeight="1">
      <c r="A8" s="421" t="s">
        <v>265</v>
      </c>
      <c r="B8" s="97">
        <v>64.9248</v>
      </c>
      <c r="C8" s="98">
        <v>5000</v>
      </c>
      <c r="D8" s="97">
        <v>2610.8672</v>
      </c>
      <c r="E8" s="392">
        <f t="shared" si="0"/>
        <v>52.217344</v>
      </c>
      <c r="F8" s="393">
        <f t="shared" si="1"/>
        <v>3921.371186357139</v>
      </c>
    </row>
    <row r="9" spans="1:6" s="111" customFormat="1" ht="18.75" customHeight="1">
      <c r="A9" s="421" t="s">
        <v>266</v>
      </c>
      <c r="B9" s="97">
        <v>3670.908053</v>
      </c>
      <c r="C9" s="98">
        <v>4046.065686</v>
      </c>
      <c r="D9" s="97">
        <v>2727.7109</v>
      </c>
      <c r="E9" s="392">
        <f t="shared" si="0"/>
        <v>67.41637708548066</v>
      </c>
      <c r="F9" s="393">
        <f t="shared" si="1"/>
        <v>-25.693837584114508</v>
      </c>
    </row>
    <row r="10" spans="1:6" ht="18.75" customHeight="1">
      <c r="A10" s="422" t="s">
        <v>267</v>
      </c>
      <c r="B10" s="123">
        <v>815</v>
      </c>
      <c r="C10" s="394">
        <v>815</v>
      </c>
      <c r="D10" s="123">
        <v>1908</v>
      </c>
      <c r="E10" s="392">
        <f t="shared" si="0"/>
        <v>234.11042944785274</v>
      </c>
      <c r="F10" s="393">
        <f t="shared" si="1"/>
        <v>134.11042944785274</v>
      </c>
    </row>
    <row r="11" spans="1:6" s="111" customFormat="1" ht="18.75" customHeight="1">
      <c r="A11" s="124" t="s">
        <v>268</v>
      </c>
      <c r="B11" s="97">
        <v>316136.588797</v>
      </c>
      <c r="C11" s="98">
        <v>349996.506969</v>
      </c>
      <c r="D11" s="97">
        <v>357480.697073</v>
      </c>
      <c r="E11" s="392">
        <f t="shared" si="0"/>
        <v>102.13836137075016</v>
      </c>
      <c r="F11" s="393">
        <f t="shared" si="1"/>
        <v>13.07792572613231</v>
      </c>
    </row>
    <row r="12" spans="1:6" s="111" customFormat="1" ht="18.75" customHeight="1">
      <c r="A12" s="125" t="s">
        <v>269</v>
      </c>
      <c r="B12" s="97">
        <v>312912.631763</v>
      </c>
      <c r="C12" s="98">
        <v>346556.431283</v>
      </c>
      <c r="D12" s="97">
        <v>354176.336173</v>
      </c>
      <c r="E12" s="392">
        <f t="shared" si="0"/>
        <v>102.19874866029468</v>
      </c>
      <c r="F12" s="393">
        <f t="shared" si="1"/>
        <v>13.18697304660208</v>
      </c>
    </row>
    <row r="13" spans="1:6" s="111" customFormat="1" ht="18.75" customHeight="1">
      <c r="A13" s="124" t="s">
        <v>270</v>
      </c>
      <c r="B13" s="97">
        <v>3223.957034</v>
      </c>
      <c r="C13" s="98">
        <v>3440.075686</v>
      </c>
      <c r="D13" s="97">
        <v>2535.3609</v>
      </c>
      <c r="E13" s="392">
        <f t="shared" si="0"/>
        <v>73.70073019957387</v>
      </c>
      <c r="F13" s="393">
        <f t="shared" si="1"/>
        <v>-21.35872552698541</v>
      </c>
    </row>
    <row r="14" spans="1:6" s="111" customFormat="1" ht="18.75" customHeight="1">
      <c r="A14" s="124" t="s">
        <v>271</v>
      </c>
      <c r="B14" s="97">
        <v>0</v>
      </c>
      <c r="C14" s="98">
        <v>0</v>
      </c>
      <c r="D14" s="97">
        <v>769</v>
      </c>
      <c r="E14" s="392">
        <v>0</v>
      </c>
      <c r="F14" s="393">
        <v>0</v>
      </c>
    </row>
    <row r="15" spans="1:6" ht="18.75" customHeight="1">
      <c r="A15" s="423" t="s">
        <v>272</v>
      </c>
      <c r="B15" s="97">
        <v>66233.656567</v>
      </c>
      <c r="C15" s="98">
        <v>73017.877691</v>
      </c>
      <c r="D15" s="97">
        <v>72975.032648</v>
      </c>
      <c r="E15" s="392">
        <f>(D15/C15)*100</f>
        <v>99.94132253037904</v>
      </c>
      <c r="F15" s="393">
        <f>(D15/B15-1)*100</f>
        <v>10.178172896404437</v>
      </c>
    </row>
    <row r="16" spans="1:6" s="111" customFormat="1" ht="18.75" customHeight="1">
      <c r="A16" s="125" t="s">
        <v>269</v>
      </c>
      <c r="B16" s="97">
        <v>65874.294464</v>
      </c>
      <c r="C16" s="98">
        <v>72662.327691</v>
      </c>
      <c r="D16" s="97">
        <v>72836.032648</v>
      </c>
      <c r="E16" s="392">
        <f>(D16/C16)*100</f>
        <v>100.23905779310935</v>
      </c>
      <c r="F16" s="393">
        <f>(D16/B16-1)*100</f>
        <v>10.568216693090427</v>
      </c>
    </row>
    <row r="17" spans="1:6" s="111" customFormat="1" ht="18.75" customHeight="1">
      <c r="A17" s="124" t="s">
        <v>273</v>
      </c>
      <c r="B17" s="97">
        <v>359.362103</v>
      </c>
      <c r="C17" s="98">
        <v>355.55</v>
      </c>
      <c r="D17" s="97">
        <v>139</v>
      </c>
      <c r="E17" s="392">
        <f aca="true" t="shared" si="2" ref="E17:E23">(D17/C17)*100</f>
        <v>39.09436084938827</v>
      </c>
      <c r="F17" s="393">
        <f>(D17/B17-1)*100</f>
        <v>-61.32035102209985</v>
      </c>
    </row>
    <row r="18" spans="1:6" s="111" customFormat="1" ht="18.75" customHeight="1">
      <c r="A18" s="124" t="s">
        <v>274</v>
      </c>
      <c r="B18" s="97">
        <v>207339.424891</v>
      </c>
      <c r="C18" s="98">
        <v>234900.496</v>
      </c>
      <c r="D18" s="97">
        <v>226972.053148</v>
      </c>
      <c r="E18" s="392">
        <f t="shared" si="2"/>
        <v>96.6247653849143</v>
      </c>
      <c r="F18" s="393">
        <f>(D18/B18-1)*100</f>
        <v>9.468835108094398</v>
      </c>
    </row>
    <row r="19" spans="1:6" s="111" customFormat="1" ht="18.75" customHeight="1">
      <c r="A19" s="125" t="s">
        <v>269</v>
      </c>
      <c r="B19" s="97">
        <v>207339.768871</v>
      </c>
      <c r="C19" s="98">
        <v>229700.496</v>
      </c>
      <c r="D19" s="97">
        <v>224971.703148</v>
      </c>
      <c r="E19" s="392">
        <f t="shared" si="2"/>
        <v>97.94132231564706</v>
      </c>
      <c r="F19" s="393">
        <f>(D19/B19-1)*100</f>
        <v>8.503884408190899</v>
      </c>
    </row>
    <row r="20" spans="1:6" s="111" customFormat="1" ht="18.75" customHeight="1">
      <c r="A20" s="124" t="s">
        <v>275</v>
      </c>
      <c r="B20" s="97">
        <v>0</v>
      </c>
      <c r="C20" s="98">
        <v>5000</v>
      </c>
      <c r="D20" s="97">
        <v>2000</v>
      </c>
      <c r="E20" s="392">
        <f t="shared" si="2"/>
        <v>40</v>
      </c>
      <c r="F20" s="393">
        <v>0</v>
      </c>
    </row>
    <row r="21" spans="1:6" s="111" customFormat="1" ht="18.75" customHeight="1">
      <c r="A21" s="124" t="s">
        <v>273</v>
      </c>
      <c r="B21" s="97">
        <v>-0.34398</v>
      </c>
      <c r="C21" s="98">
        <v>200</v>
      </c>
      <c r="D21" s="97">
        <v>0.35</v>
      </c>
      <c r="E21" s="392">
        <f t="shared" si="2"/>
        <v>0.175</v>
      </c>
      <c r="F21" s="393">
        <f>(D21/B21-1)*100</f>
        <v>-201.75010175010178</v>
      </c>
    </row>
    <row r="22" spans="1:6" ht="18.75" customHeight="1">
      <c r="A22" s="126" t="s">
        <v>276</v>
      </c>
      <c r="B22" s="123">
        <v>111916.003547</v>
      </c>
      <c r="C22" s="394">
        <v>119805.536537</v>
      </c>
      <c r="D22" s="123">
        <v>126787.888616</v>
      </c>
      <c r="E22" s="392">
        <f t="shared" si="2"/>
        <v>105.82807129021421</v>
      </c>
      <c r="F22" s="393">
        <f>(D22/B22-1)*100</f>
        <v>13.288434716804765</v>
      </c>
    </row>
    <row r="23" spans="1:6" s="111" customFormat="1" ht="18.75" customHeight="1">
      <c r="A23" s="125" t="s">
        <v>269</v>
      </c>
      <c r="B23" s="123">
        <v>111848.095686</v>
      </c>
      <c r="C23" s="394">
        <v>119805.536537</v>
      </c>
      <c r="D23" s="97">
        <v>126177.021416</v>
      </c>
      <c r="E23" s="392">
        <f t="shared" si="2"/>
        <v>105.31818901126681</v>
      </c>
      <c r="F23" s="393">
        <f>(D23/B23-1)*100</f>
        <v>12.811059179967387</v>
      </c>
    </row>
    <row r="24" spans="1:6" s="111" customFormat="1" ht="18.75" customHeight="1">
      <c r="A24" s="124" t="s">
        <v>275</v>
      </c>
      <c r="B24" s="123">
        <v>64.9248</v>
      </c>
      <c r="C24" s="394">
        <v>0</v>
      </c>
      <c r="D24" s="97">
        <v>610.8672</v>
      </c>
      <c r="E24" s="392">
        <v>0</v>
      </c>
      <c r="F24" s="393">
        <v>0</v>
      </c>
    </row>
    <row r="25" spans="1:6" s="111" customFormat="1" ht="18.75" customHeight="1">
      <c r="A25" s="124" t="s">
        <v>273</v>
      </c>
      <c r="B25" s="123">
        <v>2.983061</v>
      </c>
      <c r="C25" s="394">
        <v>0</v>
      </c>
      <c r="D25" s="97">
        <v>0</v>
      </c>
      <c r="E25" s="392">
        <v>0</v>
      </c>
      <c r="F25" s="393">
        <v>0</v>
      </c>
    </row>
    <row r="26" spans="1:6" ht="18.75" customHeight="1">
      <c r="A26" s="126" t="s">
        <v>277</v>
      </c>
      <c r="B26" s="123">
        <v>164612.459635</v>
      </c>
      <c r="C26" s="394">
        <v>182725.828247</v>
      </c>
      <c r="D26" s="123">
        <v>189417.495946</v>
      </c>
      <c r="E26" s="392">
        <f>(D26/C26)*100</f>
        <v>103.66213565055212</v>
      </c>
      <c r="F26" s="393">
        <f>(D26/B26-1)*100</f>
        <v>15.068747752145217</v>
      </c>
    </row>
    <row r="27" spans="1:6" s="111" customFormat="1" ht="18.75" customHeight="1">
      <c r="A27" s="125" t="s">
        <v>269</v>
      </c>
      <c r="B27" s="123">
        <v>153050.673075</v>
      </c>
      <c r="C27" s="394">
        <v>164565.526047</v>
      </c>
      <c r="D27" s="97">
        <v>171008.905946</v>
      </c>
      <c r="E27" s="392">
        <f>(D27/C27)*100</f>
        <v>103.9153886319786</v>
      </c>
      <c r="F27" s="393">
        <f>(D27/B27-1)*100</f>
        <v>11.733521003334534</v>
      </c>
    </row>
    <row r="28" spans="1:6" ht="18.75" customHeight="1">
      <c r="A28" s="126" t="s">
        <v>278</v>
      </c>
      <c r="B28" s="123">
        <v>5622.111486</v>
      </c>
      <c r="C28" s="394">
        <v>5928.74809</v>
      </c>
      <c r="D28" s="123">
        <v>6296.436202</v>
      </c>
      <c r="E28" s="392">
        <f>(D28/C28)*100</f>
        <v>106.20178335153383</v>
      </c>
      <c r="F28" s="393">
        <f>(D28/B28-1)*100</f>
        <v>11.994154112368305</v>
      </c>
    </row>
    <row r="29" spans="1:6" s="111" customFormat="1" ht="18.75" customHeight="1">
      <c r="A29" s="125" t="s">
        <v>269</v>
      </c>
      <c r="B29" s="123">
        <v>5616.027636</v>
      </c>
      <c r="C29" s="394">
        <v>5924.44309</v>
      </c>
      <c r="D29" s="97">
        <v>6069.436202</v>
      </c>
      <c r="E29" s="392">
        <f>(D29/C29)*100</f>
        <v>102.44737116716907</v>
      </c>
      <c r="F29" s="393">
        <f>(D29/B29-1)*100</f>
        <v>8.073474622766263</v>
      </c>
    </row>
    <row r="30" spans="1:6" s="111" customFormat="1" ht="18.75" customHeight="1">
      <c r="A30" s="124" t="s">
        <v>279</v>
      </c>
      <c r="B30" s="123">
        <v>0</v>
      </c>
      <c r="C30" s="98">
        <v>0</v>
      </c>
      <c r="D30" s="97">
        <v>227</v>
      </c>
      <c r="E30" s="392">
        <v>0</v>
      </c>
      <c r="F30" s="393">
        <v>0</v>
      </c>
    </row>
    <row r="31" spans="1:6" ht="18.75" customHeight="1">
      <c r="A31" s="126" t="s">
        <v>280</v>
      </c>
      <c r="B31" s="123">
        <v>15878.864026</v>
      </c>
      <c r="C31" s="394">
        <v>18908.306194</v>
      </c>
      <c r="D31" s="123">
        <v>16665.7288</v>
      </c>
      <c r="E31" s="392">
        <f aca="true" t="shared" si="3" ref="E31:E36">(D31/C31)*100</f>
        <v>88.13972351097415</v>
      </c>
      <c r="F31" s="393">
        <f aca="true" t="shared" si="4" ref="F31:F36">(D31/B31-1)*100</f>
        <v>4.955422331922432</v>
      </c>
    </row>
    <row r="32" spans="1:6" s="111" customFormat="1" ht="18.75" customHeight="1">
      <c r="A32" s="125" t="s">
        <v>269</v>
      </c>
      <c r="B32" s="123">
        <v>14978.914191</v>
      </c>
      <c r="C32" s="394">
        <v>18042.866194</v>
      </c>
      <c r="D32" s="97">
        <v>15700.7288</v>
      </c>
      <c r="E32" s="392">
        <f t="shared" si="3"/>
        <v>87.01903916585684</v>
      </c>
      <c r="F32" s="393">
        <f t="shared" si="4"/>
        <v>4.8188713801011085</v>
      </c>
    </row>
    <row r="33" spans="1:6" s="111" customFormat="1" ht="18.75" customHeight="1">
      <c r="A33" s="124" t="s">
        <v>273</v>
      </c>
      <c r="B33" s="123">
        <v>84.949835</v>
      </c>
      <c r="C33" s="394">
        <v>50.44</v>
      </c>
      <c r="D33" s="97">
        <v>53</v>
      </c>
      <c r="E33" s="392">
        <f t="shared" si="3"/>
        <v>105.07533703409993</v>
      </c>
      <c r="F33" s="393">
        <f t="shared" si="4"/>
        <v>-37.61023785390518</v>
      </c>
    </row>
    <row r="34" spans="1:6" ht="18.75" customHeight="1">
      <c r="A34" s="126" t="s">
        <v>279</v>
      </c>
      <c r="B34" s="123">
        <v>815</v>
      </c>
      <c r="C34" s="394">
        <v>815</v>
      </c>
      <c r="D34" s="123">
        <v>912</v>
      </c>
      <c r="E34" s="392">
        <f t="shared" si="3"/>
        <v>111.90184049079754</v>
      </c>
      <c r="F34" s="393">
        <f t="shared" si="4"/>
        <v>11.901840490797543</v>
      </c>
    </row>
    <row r="35" spans="1:6" ht="18.75" customHeight="1">
      <c r="A35" s="126" t="s">
        <v>281</v>
      </c>
      <c r="B35" s="123">
        <v>3635.216328</v>
      </c>
      <c r="C35" s="394">
        <v>3867.176431</v>
      </c>
      <c r="D35" s="123">
        <v>7047.556982</v>
      </c>
      <c r="E35" s="392">
        <f t="shared" si="3"/>
        <v>182.24037893656683</v>
      </c>
      <c r="F35" s="393">
        <f t="shared" si="4"/>
        <v>93.86898456954775</v>
      </c>
    </row>
    <row r="36" spans="1:6" s="111" customFormat="1" ht="18.75" customHeight="1">
      <c r="A36" s="125" t="s">
        <v>269</v>
      </c>
      <c r="B36" s="123">
        <v>3635.216328</v>
      </c>
      <c r="C36" s="394">
        <v>3867.176431</v>
      </c>
      <c r="D36" s="128">
        <v>7047.556982</v>
      </c>
      <c r="E36" s="395">
        <f t="shared" si="3"/>
        <v>182.24037893656683</v>
      </c>
      <c r="F36" s="396">
        <f t="shared" si="4"/>
        <v>93.86898456954775</v>
      </c>
    </row>
    <row r="37" spans="1:6" ht="45.75" customHeight="1">
      <c r="A37" s="397" t="s">
        <v>282</v>
      </c>
      <c r="B37" s="397"/>
      <c r="C37" s="397"/>
      <c r="D37" s="398"/>
      <c r="E37" s="398"/>
      <c r="F37" s="398"/>
    </row>
  </sheetData>
  <sheetProtection/>
  <mergeCells count="6">
    <mergeCell ref="A2:F2"/>
    <mergeCell ref="D4:F4"/>
    <mergeCell ref="A37:F37"/>
    <mergeCell ref="A4:A5"/>
    <mergeCell ref="B4:B5"/>
    <mergeCell ref="C4:C5"/>
  </mergeCells>
  <printOptions horizontalCentered="1"/>
  <pageMargins left="0.5" right="0.5" top="0.75" bottom="0.9" header="0.3" footer="0.3"/>
  <pageSetup horizontalDpi="600" verticalDpi="600" orientation="portrait" paperSize="9" scale="94"/>
  <rowBreaks count="1" manualBreakCount="1">
    <brk id="3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L46"/>
  <sheetViews>
    <sheetView workbookViewId="0" topLeftCell="A1">
      <selection activeCell="A2" sqref="A2:C2"/>
    </sheetView>
  </sheetViews>
  <sheetFormatPr defaultColWidth="9.00390625" defaultRowHeight="14.25"/>
  <cols>
    <col min="1" max="1" width="44.375" style="80" customWidth="1"/>
    <col min="2" max="2" width="18.00390625" style="81" customWidth="1"/>
    <col min="3" max="3" width="18.375" style="81" customWidth="1"/>
    <col min="4" max="10" width="9.00390625" style="79" customWidth="1"/>
    <col min="11" max="12" width="9.00390625" style="136" customWidth="1"/>
    <col min="13" max="16384" width="9.00390625" style="79" customWidth="1"/>
  </cols>
  <sheetData>
    <row r="1" spans="1:12" s="74" customFormat="1" ht="19.5" customHeight="1">
      <c r="A1" s="82" t="s">
        <v>283</v>
      </c>
      <c r="B1" s="83"/>
      <c r="C1" s="84"/>
      <c r="K1" s="145"/>
      <c r="L1" s="145"/>
    </row>
    <row r="2" spans="1:12" ht="24.75" customHeight="1">
      <c r="A2" s="376" t="s">
        <v>284</v>
      </c>
      <c r="B2" s="376"/>
      <c r="C2" s="376"/>
      <c r="D2" s="75"/>
      <c r="E2" s="75"/>
      <c r="F2" s="75"/>
      <c r="K2" s="419"/>
      <c r="L2" s="419"/>
    </row>
    <row r="3" spans="2:12" s="76" customFormat="1" ht="24" customHeight="1">
      <c r="B3" s="86"/>
      <c r="C3" s="117" t="s">
        <v>3</v>
      </c>
      <c r="K3" s="147"/>
      <c r="L3" s="147"/>
    </row>
    <row r="4" spans="1:12" s="77" customFormat="1" ht="33" customHeight="1">
      <c r="A4" s="378" t="s">
        <v>239</v>
      </c>
      <c r="B4" s="379" t="s">
        <v>285</v>
      </c>
      <c r="C4" s="379" t="s">
        <v>8</v>
      </c>
      <c r="K4" s="148"/>
      <c r="L4" s="148"/>
    </row>
    <row r="5" spans="1:12" s="78" customFormat="1" ht="33" customHeight="1">
      <c r="A5" s="93" t="s">
        <v>286</v>
      </c>
      <c r="B5" s="94">
        <v>76128.694138</v>
      </c>
      <c r="C5" s="94">
        <v>20297.111165</v>
      </c>
      <c r="D5" s="140">
        <f>IF(B5=SUM(B6:B13),"","1")</f>
      </c>
      <c r="E5" s="140">
        <f>IF(C5=SUM(C6:C13),"","1")</f>
      </c>
      <c r="H5" s="140">
        <f>IF(B5=SUM(B6:B13),"","1")</f>
      </c>
      <c r="I5" s="140">
        <f>IF(C5=SUM(C6:C13),"","1")</f>
      </c>
      <c r="K5" s="140"/>
      <c r="L5" s="140"/>
    </row>
    <row r="6" spans="1:12" s="78" customFormat="1" ht="33" customHeight="1">
      <c r="A6" s="96" t="s">
        <v>287</v>
      </c>
      <c r="B6" s="94">
        <v>15767.866678</v>
      </c>
      <c r="C6" s="97">
        <v>-36630.549549</v>
      </c>
      <c r="K6" s="140"/>
      <c r="L6" s="140"/>
    </row>
    <row r="7" spans="1:12" s="78" customFormat="1" ht="33" customHeight="1">
      <c r="A7" s="96" t="s">
        <v>288</v>
      </c>
      <c r="B7" s="94">
        <v>38662.251557</v>
      </c>
      <c r="C7" s="94">
        <v>51136.100469</v>
      </c>
      <c r="K7" s="140"/>
      <c r="L7" s="140"/>
    </row>
    <row r="8" spans="1:12" s="78" customFormat="1" ht="33" customHeight="1">
      <c r="A8" s="96" t="s">
        <v>289</v>
      </c>
      <c r="B8" s="94">
        <v>4919.513459</v>
      </c>
      <c r="C8" s="97">
        <v>57.5911880000114</v>
      </c>
      <c r="K8" s="140"/>
      <c r="L8" s="140"/>
    </row>
    <row r="9" spans="1:12" s="78" customFormat="1" ht="33" customHeight="1">
      <c r="A9" s="100" t="s">
        <v>290</v>
      </c>
      <c r="B9" s="94">
        <v>3677.845232</v>
      </c>
      <c r="C9" s="94">
        <v>6524.096797</v>
      </c>
      <c r="K9" s="140"/>
      <c r="L9" s="140"/>
    </row>
    <row r="10" spans="1:12" s="78" customFormat="1" ht="33" customHeight="1">
      <c r="A10" s="100" t="s">
        <v>291</v>
      </c>
      <c r="B10" s="94">
        <v>5872.066124</v>
      </c>
      <c r="C10" s="94">
        <v>-10688.827263</v>
      </c>
      <c r="K10" s="140"/>
      <c r="L10" s="140"/>
    </row>
    <row r="11" spans="1:12" s="78" customFormat="1" ht="33" customHeight="1">
      <c r="A11" s="100" t="s">
        <v>292</v>
      </c>
      <c r="B11" s="94">
        <v>2257.70046</v>
      </c>
      <c r="C11" s="94">
        <v>3511.244135</v>
      </c>
      <c r="D11" s="417"/>
      <c r="K11" s="140"/>
      <c r="L11" s="140"/>
    </row>
    <row r="12" spans="1:12" s="80" customFormat="1" ht="33" customHeight="1">
      <c r="A12" s="101" t="s">
        <v>293</v>
      </c>
      <c r="B12" s="94">
        <v>4800.142059</v>
      </c>
      <c r="C12" s="94">
        <v>9277.252085</v>
      </c>
      <c r="D12" s="418"/>
      <c r="E12" s="418"/>
      <c r="K12" s="140"/>
      <c r="L12" s="140"/>
    </row>
    <row r="13" spans="1:12" s="80" customFormat="1" ht="33" customHeight="1">
      <c r="A13" s="102" t="s">
        <v>294</v>
      </c>
      <c r="B13" s="94">
        <v>171.308569</v>
      </c>
      <c r="C13" s="94">
        <v>-2889.796697</v>
      </c>
      <c r="K13" s="140"/>
      <c r="L13" s="140"/>
    </row>
    <row r="14" spans="1:12" s="78" customFormat="1" ht="33" customHeight="1">
      <c r="A14" s="96" t="s">
        <v>295</v>
      </c>
      <c r="B14" s="94">
        <v>749529.219101</v>
      </c>
      <c r="C14" s="94">
        <v>769826.330266</v>
      </c>
      <c r="D14" s="140">
        <f>IF(B14=SUM(B15:B22),"","1")</f>
      </c>
      <c r="E14" s="140">
        <f>IF(C14=SUM(C15:C22),"","1")</f>
      </c>
      <c r="H14" s="140">
        <f>IF(B14=SUM(B15:B22),"","1")</f>
      </c>
      <c r="I14" s="140">
        <f>IF(C14=SUM(C15:C22),"","1")</f>
      </c>
      <c r="K14" s="140"/>
      <c r="L14" s="140"/>
    </row>
    <row r="15" spans="1:12" s="78" customFormat="1" ht="33" customHeight="1">
      <c r="A15" s="96" t="s">
        <v>296</v>
      </c>
      <c r="B15" s="94">
        <v>218512.832683</v>
      </c>
      <c r="C15" s="97">
        <v>181882.283134</v>
      </c>
      <c r="K15" s="140"/>
      <c r="L15" s="140"/>
    </row>
    <row r="16" spans="1:12" s="78" customFormat="1" ht="33" customHeight="1">
      <c r="A16" s="96" t="s">
        <v>297</v>
      </c>
      <c r="B16" s="94">
        <v>272596.112424</v>
      </c>
      <c r="C16" s="94">
        <v>323732.212893</v>
      </c>
      <c r="K16" s="140"/>
      <c r="L16" s="140"/>
    </row>
    <row r="17" spans="1:12" s="78" customFormat="1" ht="33" customHeight="1">
      <c r="A17" s="96" t="s">
        <v>298</v>
      </c>
      <c r="B17" s="94">
        <v>14206.642371</v>
      </c>
      <c r="C17" s="97">
        <v>14264.233559</v>
      </c>
      <c r="K17" s="140"/>
      <c r="L17" s="140"/>
    </row>
    <row r="18" spans="1:12" s="78" customFormat="1" ht="33" customHeight="1">
      <c r="A18" s="100" t="s">
        <v>299</v>
      </c>
      <c r="B18" s="94">
        <v>58901.122267</v>
      </c>
      <c r="C18" s="94">
        <v>65425.219064</v>
      </c>
      <c r="K18" s="140"/>
      <c r="L18" s="140"/>
    </row>
    <row r="19" spans="1:12" s="78" customFormat="1" ht="33" customHeight="1">
      <c r="A19" s="100" t="s">
        <v>300</v>
      </c>
      <c r="B19" s="94">
        <v>60350.139103</v>
      </c>
      <c r="C19" s="94">
        <v>49661.31184</v>
      </c>
      <c r="K19" s="140"/>
      <c r="L19" s="140"/>
    </row>
    <row r="20" spans="1:12" s="78" customFormat="1" ht="33" customHeight="1">
      <c r="A20" s="100" t="s">
        <v>301</v>
      </c>
      <c r="B20" s="94">
        <v>27756.406141</v>
      </c>
      <c r="C20" s="94">
        <v>31267.650276</v>
      </c>
      <c r="D20" s="417"/>
      <c r="K20" s="140"/>
      <c r="L20" s="140"/>
    </row>
    <row r="21" spans="1:12" s="80" customFormat="1" ht="33" customHeight="1">
      <c r="A21" s="101" t="s">
        <v>302</v>
      </c>
      <c r="B21" s="94">
        <v>78994.840559</v>
      </c>
      <c r="C21" s="94">
        <v>88272.092644</v>
      </c>
      <c r="D21" s="418"/>
      <c r="E21" s="418"/>
      <c r="K21" s="140"/>
      <c r="L21" s="140"/>
    </row>
    <row r="22" spans="1:12" s="80" customFormat="1" ht="33" customHeight="1">
      <c r="A22" s="103" t="s">
        <v>303</v>
      </c>
      <c r="B22" s="104">
        <v>18211.123553</v>
      </c>
      <c r="C22" s="104">
        <v>15321.326856</v>
      </c>
      <c r="K22" s="140"/>
      <c r="L22" s="140"/>
    </row>
    <row r="23" spans="2:12" s="80" customFormat="1" ht="14.25">
      <c r="B23" s="380"/>
      <c r="C23" s="380"/>
      <c r="K23" s="148"/>
      <c r="L23" s="148"/>
    </row>
    <row r="24" spans="2:12" s="80" customFormat="1" ht="14.25">
      <c r="B24" s="380"/>
      <c r="C24" s="380"/>
      <c r="K24" s="148"/>
      <c r="L24" s="148"/>
    </row>
    <row r="25" spans="2:12" s="80" customFormat="1" ht="14.25">
      <c r="B25" s="380"/>
      <c r="C25" s="380"/>
      <c r="K25" s="148"/>
      <c r="L25" s="148"/>
    </row>
    <row r="26" spans="2:12" s="80" customFormat="1" ht="14.25">
      <c r="B26" s="380"/>
      <c r="C26" s="380"/>
      <c r="K26" s="148"/>
      <c r="L26" s="148"/>
    </row>
    <row r="27" spans="2:12" s="80" customFormat="1" ht="14.25">
      <c r="B27" s="380"/>
      <c r="C27" s="380"/>
      <c r="K27" s="148"/>
      <c r="L27" s="148"/>
    </row>
    <row r="28" spans="2:12" s="80" customFormat="1" ht="14.25">
      <c r="B28" s="380"/>
      <c r="C28" s="380"/>
      <c r="K28" s="148"/>
      <c r="L28" s="148"/>
    </row>
    <row r="29" spans="2:12" s="80" customFormat="1" ht="14.25">
      <c r="B29" s="380"/>
      <c r="C29" s="380"/>
      <c r="K29" s="148"/>
      <c r="L29" s="148"/>
    </row>
    <row r="30" spans="2:12" s="80" customFormat="1" ht="14.25">
      <c r="B30" s="380"/>
      <c r="C30" s="380"/>
      <c r="K30" s="148"/>
      <c r="L30" s="148"/>
    </row>
    <row r="31" spans="2:3" s="80" customFormat="1" ht="14.25">
      <c r="B31" s="380"/>
      <c r="C31" s="380"/>
    </row>
    <row r="32" spans="2:3" s="80" customFormat="1" ht="14.25">
      <c r="B32" s="380"/>
      <c r="C32" s="380"/>
    </row>
    <row r="33" spans="2:3" s="80" customFormat="1" ht="14.25">
      <c r="B33" s="380"/>
      <c r="C33" s="380"/>
    </row>
    <row r="34" spans="2:3" s="80" customFormat="1" ht="14.25">
      <c r="B34" s="380"/>
      <c r="C34" s="380"/>
    </row>
    <row r="35" spans="2:3" s="80" customFormat="1" ht="14.25">
      <c r="B35" s="380"/>
      <c r="C35" s="380"/>
    </row>
    <row r="36" spans="2:3" s="80" customFormat="1" ht="14.25">
      <c r="B36" s="380"/>
      <c r="C36" s="380"/>
    </row>
    <row r="37" spans="2:3" s="80" customFormat="1" ht="14.25">
      <c r="B37" s="380"/>
      <c r="C37" s="380"/>
    </row>
    <row r="38" spans="2:3" s="80" customFormat="1" ht="14.25">
      <c r="B38" s="380"/>
      <c r="C38" s="380"/>
    </row>
    <row r="39" spans="2:3" s="80" customFormat="1" ht="14.25">
      <c r="B39" s="380"/>
      <c r="C39" s="380"/>
    </row>
    <row r="40" spans="2:3" s="80" customFormat="1" ht="14.25">
      <c r="B40" s="380"/>
      <c r="C40" s="380"/>
    </row>
    <row r="41" spans="2:3" s="80" customFormat="1" ht="14.25">
      <c r="B41" s="380"/>
      <c r="C41" s="380"/>
    </row>
    <row r="42" spans="2:3" s="80" customFormat="1" ht="14.25">
      <c r="B42" s="380"/>
      <c r="C42" s="380"/>
    </row>
    <row r="43" spans="2:3" s="80" customFormat="1" ht="14.25">
      <c r="B43" s="380"/>
      <c r="C43" s="380"/>
    </row>
    <row r="44" spans="2:3" s="80" customFormat="1" ht="14.25">
      <c r="B44" s="380"/>
      <c r="C44" s="380"/>
    </row>
    <row r="45" spans="2:3" s="80" customFormat="1" ht="14.25">
      <c r="B45" s="380"/>
      <c r="C45" s="380"/>
    </row>
    <row r="46" spans="2:3" s="80" customFormat="1" ht="14.25">
      <c r="B46" s="380"/>
      <c r="C46" s="380"/>
    </row>
  </sheetData>
  <sheetProtection/>
  <mergeCells count="1">
    <mergeCell ref="A2:C2"/>
  </mergeCells>
  <printOptions horizontalCentered="1"/>
  <pageMargins left="0.7" right="0.7" top="0.75" bottom="0.9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IL42"/>
  <sheetViews>
    <sheetView showZeros="0" view="pageBreakPreview" zoomScale="60" workbookViewId="0" topLeftCell="A1">
      <selection activeCell="A2" sqref="A2:F2"/>
    </sheetView>
  </sheetViews>
  <sheetFormatPr defaultColWidth="9.00390625" defaultRowHeight="14.25"/>
  <cols>
    <col min="1" max="1" width="31.25390625" style="80" customWidth="1"/>
    <col min="2" max="3" width="10.75390625" style="135" customWidth="1"/>
    <col min="4" max="4" width="10.25390625" style="81" customWidth="1"/>
    <col min="5" max="6" width="10.25390625" style="402" customWidth="1"/>
    <col min="7" max="246" width="9.00390625" style="79" customWidth="1"/>
    <col min="247" max="16384" width="9.00390625" style="1" customWidth="1"/>
  </cols>
  <sheetData>
    <row r="1" spans="1:6" s="74" customFormat="1" ht="15.75" customHeight="1">
      <c r="A1" s="82" t="s">
        <v>304</v>
      </c>
      <c r="B1" s="137"/>
      <c r="C1" s="137"/>
      <c r="D1" s="84"/>
      <c r="E1" s="403"/>
      <c r="F1" s="403"/>
    </row>
    <row r="2" spans="1:6" s="79" customFormat="1" ht="25.5" customHeight="1">
      <c r="A2" s="85" t="s">
        <v>305</v>
      </c>
      <c r="B2" s="85"/>
      <c r="C2" s="85"/>
      <c r="D2" s="85"/>
      <c r="E2" s="85"/>
      <c r="F2" s="85"/>
    </row>
    <row r="3" spans="2:6" s="76" customFormat="1" ht="18.75" customHeight="1">
      <c r="B3" s="117"/>
      <c r="C3" s="117"/>
      <c r="D3" s="86"/>
      <c r="E3" s="385"/>
      <c r="F3" s="385" t="s">
        <v>3</v>
      </c>
    </row>
    <row r="4" spans="1:246" s="77" customFormat="1" ht="24" customHeight="1">
      <c r="A4" s="386" t="s">
        <v>239</v>
      </c>
      <c r="B4" s="379" t="s">
        <v>5</v>
      </c>
      <c r="C4" s="379" t="s">
        <v>6</v>
      </c>
      <c r="D4" s="379" t="s">
        <v>8</v>
      </c>
      <c r="E4" s="379"/>
      <c r="F4" s="379"/>
      <c r="IL4" s="80"/>
    </row>
    <row r="5" spans="1:246" s="77" customFormat="1" ht="24" customHeight="1">
      <c r="A5" s="386"/>
      <c r="B5" s="379"/>
      <c r="C5" s="379"/>
      <c r="D5" s="379" t="s">
        <v>240</v>
      </c>
      <c r="E5" s="379" t="s">
        <v>241</v>
      </c>
      <c r="F5" s="379" t="s">
        <v>242</v>
      </c>
      <c r="IL5" s="80"/>
    </row>
    <row r="6" spans="1:246" s="132" customFormat="1" ht="18.75" customHeight="1">
      <c r="A6" s="404" t="s">
        <v>243</v>
      </c>
      <c r="B6" s="405">
        <v>206155.969085</v>
      </c>
      <c r="C6" s="406">
        <v>198927.613879</v>
      </c>
      <c r="D6" s="407">
        <f>D12+D18+D22+D25+D29+D34</f>
        <v>264944.947514</v>
      </c>
      <c r="E6" s="390">
        <f aca="true" t="shared" si="0" ref="E6:E16">(D6/C6)*100</f>
        <v>133.18661112335857</v>
      </c>
      <c r="F6" s="391">
        <f aca="true" t="shared" si="1" ref="F6:F16">(D6/B6-1)*100</f>
        <v>28.516748115481818</v>
      </c>
      <c r="IL6" s="80"/>
    </row>
    <row r="7" spans="1:246" s="133" customFormat="1" ht="18.75" customHeight="1">
      <c r="A7" s="408" t="s">
        <v>244</v>
      </c>
      <c r="B7" s="94">
        <v>169407.690156</v>
      </c>
      <c r="C7" s="407">
        <v>157043.819893</v>
      </c>
      <c r="D7" s="407">
        <f>D13+D19+D23+D26+D30+D35</f>
        <v>165031.02144199997</v>
      </c>
      <c r="E7" s="392">
        <f t="shared" si="0"/>
        <v>105.08596998878525</v>
      </c>
      <c r="F7" s="393">
        <f t="shared" si="1"/>
        <v>-2.583512419046474</v>
      </c>
      <c r="IL7" s="80"/>
    </row>
    <row r="8" spans="1:246" s="133" customFormat="1" ht="18.75" customHeight="1">
      <c r="A8" s="408" t="s">
        <v>245</v>
      </c>
      <c r="B8" s="94">
        <v>1740.864164</v>
      </c>
      <c r="C8" s="407">
        <v>2189.70559</v>
      </c>
      <c r="D8" s="407">
        <f>D14+D20+D24+D27+D31+D36</f>
        <v>6952.475469</v>
      </c>
      <c r="E8" s="392">
        <f t="shared" si="0"/>
        <v>317.5073169996337</v>
      </c>
      <c r="F8" s="393">
        <f t="shared" si="1"/>
        <v>299.3692105778794</v>
      </c>
      <c r="IL8" s="80"/>
    </row>
    <row r="9" spans="1:246" s="133" customFormat="1" ht="18.75" customHeight="1">
      <c r="A9" s="408" t="s">
        <v>246</v>
      </c>
      <c r="B9" s="97">
        <v>9667</v>
      </c>
      <c r="C9" s="407">
        <v>13663</v>
      </c>
      <c r="D9" s="407">
        <f>D15+D21</f>
        <v>21719</v>
      </c>
      <c r="E9" s="392">
        <f t="shared" si="0"/>
        <v>158.9621605796677</v>
      </c>
      <c r="F9" s="393">
        <f t="shared" si="1"/>
        <v>124.67156304955003</v>
      </c>
      <c r="IL9" s="80"/>
    </row>
    <row r="10" spans="1:246" s="133" customFormat="1" ht="18.75" customHeight="1">
      <c r="A10" s="408" t="s">
        <v>247</v>
      </c>
      <c r="B10" s="97">
        <v>20721.222288</v>
      </c>
      <c r="C10" s="98">
        <v>21259.652288</v>
      </c>
      <c r="D10" s="97">
        <v>10903.319</v>
      </c>
      <c r="E10" s="392">
        <f t="shared" si="0"/>
        <v>51.28644087069275</v>
      </c>
      <c r="F10" s="393">
        <f t="shared" si="1"/>
        <v>-47.38090809288654</v>
      </c>
      <c r="IL10" s="80"/>
    </row>
    <row r="11" spans="1:246" s="133" customFormat="1" ht="18.75" customHeight="1">
      <c r="A11" s="408" t="s">
        <v>306</v>
      </c>
      <c r="B11" s="97">
        <v>2584.933255</v>
      </c>
      <c r="C11" s="98">
        <v>2907.96186</v>
      </c>
      <c r="D11" s="97">
        <v>59146.2</v>
      </c>
      <c r="E11" s="392">
        <f t="shared" si="0"/>
        <v>2033.9400187318827</v>
      </c>
      <c r="F11" s="393">
        <f t="shared" si="1"/>
        <v>2188.1132379566993</v>
      </c>
      <c r="IL11" s="80"/>
    </row>
    <row r="12" spans="1:246" s="133" customFormat="1" ht="18.75" customHeight="1">
      <c r="A12" s="409" t="s">
        <v>248</v>
      </c>
      <c r="B12" s="97">
        <v>105778.094379</v>
      </c>
      <c r="C12" s="98">
        <v>89754.9712</v>
      </c>
      <c r="D12" s="97">
        <v>145693.310321</v>
      </c>
      <c r="E12" s="392">
        <f t="shared" si="0"/>
        <v>162.32338819022428</v>
      </c>
      <c r="F12" s="393">
        <f t="shared" si="1"/>
        <v>37.73486011100265</v>
      </c>
      <c r="IL12" s="80"/>
    </row>
    <row r="13" spans="1:246" s="133" customFormat="1" ht="18.75" customHeight="1">
      <c r="A13" s="409" t="s">
        <v>249</v>
      </c>
      <c r="B13" s="97">
        <v>85181.786802</v>
      </c>
      <c r="C13" s="98">
        <v>69647.928555</v>
      </c>
      <c r="D13" s="97">
        <v>71738.310321</v>
      </c>
      <c r="E13" s="392">
        <f t="shared" si="0"/>
        <v>103.00135525832508</v>
      </c>
      <c r="F13" s="393">
        <f t="shared" si="1"/>
        <v>-15.782102002918263</v>
      </c>
      <c r="IL13" s="80"/>
    </row>
    <row r="14" spans="1:246" s="133" customFormat="1" ht="18.75" customHeight="1">
      <c r="A14" s="409" t="s">
        <v>250</v>
      </c>
      <c r="B14" s="97">
        <v>569.909483</v>
      </c>
      <c r="C14" s="98">
        <v>810</v>
      </c>
      <c r="D14" s="97">
        <v>410</v>
      </c>
      <c r="E14" s="392">
        <f t="shared" si="0"/>
        <v>50.617283950617285</v>
      </c>
      <c r="F14" s="393">
        <f t="shared" si="1"/>
        <v>-28.058751042049256</v>
      </c>
      <c r="IL14" s="80"/>
    </row>
    <row r="15" spans="1:246" s="133" customFormat="1" ht="18.75" customHeight="1">
      <c r="A15" s="409" t="s">
        <v>251</v>
      </c>
      <c r="B15" s="97">
        <v>617</v>
      </c>
      <c r="C15" s="98">
        <v>617</v>
      </c>
      <c r="D15" s="97">
        <v>8673</v>
      </c>
      <c r="E15" s="392">
        <f t="shared" si="0"/>
        <v>1405.6726094003243</v>
      </c>
      <c r="F15" s="393">
        <f t="shared" si="1"/>
        <v>1305.6726094003243</v>
      </c>
      <c r="IL15" s="80"/>
    </row>
    <row r="16" spans="1:246" s="133" customFormat="1" ht="18.75" customHeight="1">
      <c r="A16" s="409" t="s">
        <v>252</v>
      </c>
      <c r="B16" s="97">
        <v>17537.5</v>
      </c>
      <c r="C16" s="98">
        <v>17537.5</v>
      </c>
      <c r="D16" s="97">
        <v>7230</v>
      </c>
      <c r="E16" s="392">
        <f t="shared" si="0"/>
        <v>41.22594440484676</v>
      </c>
      <c r="F16" s="393">
        <f t="shared" si="1"/>
        <v>-58.77405559515324</v>
      </c>
      <c r="IL16" s="80"/>
    </row>
    <row r="17" spans="1:246" s="133" customFormat="1" ht="18.75" customHeight="1">
      <c r="A17" s="409" t="s">
        <v>307</v>
      </c>
      <c r="B17" s="97">
        <v>0</v>
      </c>
      <c r="C17" s="98">
        <v>0</v>
      </c>
      <c r="D17" s="97">
        <v>56648</v>
      </c>
      <c r="E17" s="392">
        <v>0</v>
      </c>
      <c r="F17" s="393">
        <v>0</v>
      </c>
      <c r="IL17" s="80"/>
    </row>
    <row r="18" spans="1:246" s="133" customFormat="1" ht="18.75" customHeight="1">
      <c r="A18" s="409" t="s">
        <v>308</v>
      </c>
      <c r="B18" s="97">
        <v>46731.851501</v>
      </c>
      <c r="C18" s="98">
        <v>51254</v>
      </c>
      <c r="D18" s="97">
        <v>52679.191752</v>
      </c>
      <c r="E18" s="392">
        <f aca="true" t="shared" si="2" ref="E18:E27">(D18/C18)*100</f>
        <v>102.78064492917626</v>
      </c>
      <c r="F18" s="393">
        <f aca="true" t="shared" si="3" ref="F18:F27">(D18/B18-1)*100</f>
        <v>12.726523901739139</v>
      </c>
      <c r="IL18" s="80"/>
    </row>
    <row r="19" spans="1:246" s="133" customFormat="1" ht="18.75" customHeight="1">
      <c r="A19" s="409" t="s">
        <v>249</v>
      </c>
      <c r="B19" s="97">
        <v>37595.328924</v>
      </c>
      <c r="C19" s="98">
        <v>37538</v>
      </c>
      <c r="D19" s="97">
        <v>39485.191752</v>
      </c>
      <c r="E19" s="392">
        <f t="shared" si="2"/>
        <v>105.18725492034737</v>
      </c>
      <c r="F19" s="393">
        <f t="shared" si="3"/>
        <v>5.02685541552359</v>
      </c>
      <c r="IL19" s="80"/>
    </row>
    <row r="20" spans="1:246" s="133" customFormat="1" ht="18.75" customHeight="1">
      <c r="A20" s="409" t="s">
        <v>250</v>
      </c>
      <c r="B20" s="97">
        <v>70.338787</v>
      </c>
      <c r="C20" s="98">
        <v>70</v>
      </c>
      <c r="D20" s="97">
        <v>70</v>
      </c>
      <c r="E20" s="392">
        <f t="shared" si="2"/>
        <v>100</v>
      </c>
      <c r="F20" s="393">
        <f t="shared" si="3"/>
        <v>-0.4816503304215347</v>
      </c>
      <c r="IL20" s="80"/>
    </row>
    <row r="21" spans="1:246" s="133" customFormat="1" ht="18.75" customHeight="1">
      <c r="A21" s="409" t="s">
        <v>251</v>
      </c>
      <c r="B21" s="97">
        <v>9050</v>
      </c>
      <c r="C21" s="98">
        <v>13046</v>
      </c>
      <c r="D21" s="97">
        <v>13046</v>
      </c>
      <c r="E21" s="392">
        <f t="shared" si="2"/>
        <v>100</v>
      </c>
      <c r="F21" s="393">
        <f t="shared" si="3"/>
        <v>44.15469613259668</v>
      </c>
      <c r="IL21" s="80"/>
    </row>
    <row r="22" spans="1:246" s="133" customFormat="1" ht="18.75" customHeight="1">
      <c r="A22" s="409" t="s">
        <v>309</v>
      </c>
      <c r="B22" s="97">
        <v>35401.990701</v>
      </c>
      <c r="C22" s="98">
        <v>39113.292884</v>
      </c>
      <c r="D22" s="97">
        <v>40529.196105</v>
      </c>
      <c r="E22" s="392">
        <f t="shared" si="2"/>
        <v>103.62000516090323</v>
      </c>
      <c r="F22" s="393">
        <f t="shared" si="3"/>
        <v>14.482816650915552</v>
      </c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</row>
    <row r="23" spans="1:246" s="133" customFormat="1" ht="18.75" customHeight="1">
      <c r="A23" s="409" t="s">
        <v>249</v>
      </c>
      <c r="B23" s="97">
        <v>35063.821534</v>
      </c>
      <c r="C23" s="98">
        <v>38732.481324</v>
      </c>
      <c r="D23" s="97">
        <v>38839.851567</v>
      </c>
      <c r="E23" s="392">
        <f t="shared" si="2"/>
        <v>100.27720982320196</v>
      </c>
      <c r="F23" s="393">
        <f t="shared" si="3"/>
        <v>10.769020225985715</v>
      </c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</row>
    <row r="24" spans="1:246" s="133" customFormat="1" ht="18.75" customHeight="1">
      <c r="A24" s="410" t="s">
        <v>250</v>
      </c>
      <c r="B24" s="97">
        <v>325.627073</v>
      </c>
      <c r="C24" s="98">
        <v>380.81156</v>
      </c>
      <c r="D24" s="97">
        <v>1689.344538</v>
      </c>
      <c r="E24" s="392">
        <f t="shared" si="2"/>
        <v>443.6169264399432</v>
      </c>
      <c r="F24" s="393">
        <f t="shared" si="3"/>
        <v>418.79732309604367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</row>
    <row r="25" spans="1:246" s="133" customFormat="1" ht="18.75" customHeight="1">
      <c r="A25" s="411" t="s">
        <v>310</v>
      </c>
      <c r="B25" s="142">
        <v>2020.948641</v>
      </c>
      <c r="C25" s="412">
        <v>2353.056807</v>
      </c>
      <c r="D25" s="142">
        <v>3061.888685</v>
      </c>
      <c r="E25" s="392">
        <f t="shared" si="2"/>
        <v>130.1238744381916</v>
      </c>
      <c r="F25" s="393">
        <f t="shared" si="3"/>
        <v>51.50749617689072</v>
      </c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</row>
    <row r="26" spans="1:246" s="133" customFormat="1" ht="18.75" customHeight="1">
      <c r="A26" s="411" t="s">
        <v>249</v>
      </c>
      <c r="B26" s="142">
        <v>1895.351377</v>
      </c>
      <c r="C26" s="412">
        <v>2205.225</v>
      </c>
      <c r="D26" s="142">
        <v>2061.903913</v>
      </c>
      <c r="E26" s="392">
        <f t="shared" si="2"/>
        <v>93.50084063984401</v>
      </c>
      <c r="F26" s="393">
        <f t="shared" si="3"/>
        <v>8.787422639469767</v>
      </c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</row>
    <row r="27" spans="1:246" s="133" customFormat="1" ht="18.75" customHeight="1">
      <c r="A27" s="411" t="s">
        <v>311</v>
      </c>
      <c r="B27" s="142">
        <v>125.597264</v>
      </c>
      <c r="C27" s="412">
        <v>147.831807</v>
      </c>
      <c r="D27" s="142">
        <v>829.984772</v>
      </c>
      <c r="E27" s="392">
        <f t="shared" si="2"/>
        <v>561.4385624062621</v>
      </c>
      <c r="F27" s="393">
        <f t="shared" si="3"/>
        <v>560.8302964306612</v>
      </c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</row>
    <row r="28" spans="1:246" s="133" customFormat="1" ht="18.75" customHeight="1">
      <c r="A28" s="411" t="s">
        <v>312</v>
      </c>
      <c r="B28" s="142">
        <v>0</v>
      </c>
      <c r="C28" s="412">
        <v>0</v>
      </c>
      <c r="D28" s="142">
        <v>170</v>
      </c>
      <c r="E28" s="392">
        <v>0</v>
      </c>
      <c r="F28" s="393">
        <v>0</v>
      </c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</row>
    <row r="29" spans="1:246" s="133" customFormat="1" ht="18.75" customHeight="1">
      <c r="A29" s="411" t="s">
        <v>313</v>
      </c>
      <c r="B29" s="142">
        <v>15013.390966</v>
      </c>
      <c r="C29" s="412">
        <v>14989.445751</v>
      </c>
      <c r="D29" s="142">
        <v>21447.450603</v>
      </c>
      <c r="E29" s="392">
        <f aca="true" t="shared" si="4" ref="E29:E36">(D29/C29)*100</f>
        <v>143.0836800724881</v>
      </c>
      <c r="F29" s="393">
        <f aca="true" t="shared" si="5" ref="F29:F36">(D29/B29-1)*100</f>
        <v>42.855472501654425</v>
      </c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</row>
    <row r="30" spans="1:246" s="133" customFormat="1" ht="18.75" customHeight="1">
      <c r="A30" s="411" t="s">
        <v>249</v>
      </c>
      <c r="B30" s="142">
        <v>8505.034372</v>
      </c>
      <c r="C30" s="412">
        <v>7508.4</v>
      </c>
      <c r="D30" s="142">
        <v>11614</v>
      </c>
      <c r="E30" s="392">
        <f t="shared" si="4"/>
        <v>154.68009163070695</v>
      </c>
      <c r="F30" s="393">
        <f t="shared" si="5"/>
        <v>36.55441579678074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</row>
    <row r="31" spans="1:246" s="133" customFormat="1" ht="18.75" customHeight="1">
      <c r="A31" s="411" t="s">
        <v>250</v>
      </c>
      <c r="B31" s="142">
        <v>606.065807</v>
      </c>
      <c r="C31" s="412">
        <v>730</v>
      </c>
      <c r="D31" s="142">
        <v>3711</v>
      </c>
      <c r="E31" s="392">
        <f t="shared" si="4"/>
        <v>508.35616438356163</v>
      </c>
      <c r="F31" s="393">
        <f t="shared" si="5"/>
        <v>512.3097454333041</v>
      </c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</row>
    <row r="32" spans="1:246" s="133" customFormat="1" ht="18.75" customHeight="1">
      <c r="A32" s="409" t="s">
        <v>252</v>
      </c>
      <c r="B32" s="97">
        <v>3183.722288</v>
      </c>
      <c r="C32" s="98">
        <v>3722.152288</v>
      </c>
      <c r="D32" s="97">
        <v>3673.319</v>
      </c>
      <c r="E32" s="392">
        <f t="shared" si="4"/>
        <v>98.68803626983679</v>
      </c>
      <c r="F32" s="393">
        <f t="shared" si="5"/>
        <v>15.378122452620158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</row>
    <row r="33" spans="1:246" s="133" customFormat="1" ht="18.75" customHeight="1">
      <c r="A33" s="409" t="s">
        <v>307</v>
      </c>
      <c r="B33" s="97">
        <v>2584.933255</v>
      </c>
      <c r="C33" s="98">
        <v>2907.96186</v>
      </c>
      <c r="D33" s="97">
        <v>2328.2</v>
      </c>
      <c r="E33" s="392">
        <f t="shared" si="4"/>
        <v>80.06294828089663</v>
      </c>
      <c r="F33" s="393">
        <f t="shared" si="5"/>
        <v>-9.931910408263134</v>
      </c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</row>
    <row r="34" spans="1:246" s="133" customFormat="1" ht="18.75" customHeight="1">
      <c r="A34" s="411" t="s">
        <v>314</v>
      </c>
      <c r="B34" s="142">
        <v>1209.692897</v>
      </c>
      <c r="C34" s="412">
        <v>1462.847237</v>
      </c>
      <c r="D34" s="142">
        <v>1533.910048</v>
      </c>
      <c r="E34" s="392">
        <f t="shared" si="4"/>
        <v>104.85784224098036</v>
      </c>
      <c r="F34" s="393">
        <f t="shared" si="5"/>
        <v>26.80160822668698</v>
      </c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</row>
    <row r="35" spans="1:246" s="133" customFormat="1" ht="18.75" customHeight="1">
      <c r="A35" s="411" t="s">
        <v>249</v>
      </c>
      <c r="B35" s="142">
        <v>1166.367147</v>
      </c>
      <c r="C35" s="412">
        <v>1411.785014</v>
      </c>
      <c r="D35" s="142">
        <v>1291.763889</v>
      </c>
      <c r="E35" s="392">
        <f t="shared" si="4"/>
        <v>91.49862593739077</v>
      </c>
      <c r="F35" s="393">
        <f t="shared" si="5"/>
        <v>10.751052301372832</v>
      </c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</row>
    <row r="36" spans="1:246" s="133" customFormat="1" ht="18.75" customHeight="1">
      <c r="A36" s="413" t="s">
        <v>250</v>
      </c>
      <c r="B36" s="144">
        <v>43.32575</v>
      </c>
      <c r="C36" s="414">
        <v>51.062223</v>
      </c>
      <c r="D36" s="144">
        <v>242.146159</v>
      </c>
      <c r="E36" s="395">
        <f t="shared" si="4"/>
        <v>474.2178165647038</v>
      </c>
      <c r="F36" s="396">
        <f t="shared" si="5"/>
        <v>458.8966353727288</v>
      </c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</row>
    <row r="37" spans="1:246" s="134" customFormat="1" ht="36" customHeight="1">
      <c r="A37" s="134" t="s">
        <v>315</v>
      </c>
      <c r="B37" s="415"/>
      <c r="C37" s="415"/>
      <c r="D37" s="380"/>
      <c r="E37" s="416"/>
      <c r="F37" s="416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</row>
    <row r="38" spans="2:6" s="80" customFormat="1" ht="14.25">
      <c r="B38" s="415"/>
      <c r="C38" s="415"/>
      <c r="D38" s="380"/>
      <c r="E38" s="416"/>
      <c r="F38" s="416"/>
    </row>
    <row r="39" spans="2:6" s="80" customFormat="1" ht="14.25">
      <c r="B39" s="415"/>
      <c r="C39" s="415"/>
      <c r="D39" s="380"/>
      <c r="E39" s="416"/>
      <c r="F39" s="416"/>
    </row>
    <row r="40" spans="1:246" s="358" customFormat="1" ht="14.25">
      <c r="A40" s="80"/>
      <c r="B40" s="415"/>
      <c r="C40" s="415"/>
      <c r="D40" s="380"/>
      <c r="E40" s="416"/>
      <c r="F40" s="416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</row>
    <row r="41" spans="1:246" s="358" customFormat="1" ht="14.25">
      <c r="A41" s="80"/>
      <c r="B41" s="415"/>
      <c r="C41" s="415"/>
      <c r="D41" s="380"/>
      <c r="E41" s="416"/>
      <c r="F41" s="416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  <c r="IL41" s="80"/>
    </row>
    <row r="42" spans="1:246" s="358" customFormat="1" ht="14.25">
      <c r="A42" s="80"/>
      <c r="B42" s="415"/>
      <c r="C42" s="415"/>
      <c r="D42" s="380"/>
      <c r="E42" s="416"/>
      <c r="F42" s="416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  <c r="IL42" s="80"/>
    </row>
  </sheetData>
  <sheetProtection/>
  <mergeCells count="6">
    <mergeCell ref="A2:F2"/>
    <mergeCell ref="D4:F4"/>
    <mergeCell ref="A37:F37"/>
    <mergeCell ref="A4:A5"/>
    <mergeCell ref="B4:B5"/>
    <mergeCell ref="C4:C5"/>
  </mergeCells>
  <printOptions horizontalCentered="1" verticalCentered="1"/>
  <pageMargins left="0.71" right="0.71" top="0.75" bottom="0.9" header="0.31" footer="0.31"/>
  <pageSetup horizontalDpi="600" verticalDpi="600" orientation="portrait" paperSize="9" scale="94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IN39"/>
  <sheetViews>
    <sheetView workbookViewId="0" topLeftCell="A1">
      <selection activeCell="A2" sqref="A2:F2"/>
    </sheetView>
  </sheetViews>
  <sheetFormatPr defaultColWidth="9.00390625" defaultRowHeight="14.25"/>
  <cols>
    <col min="1" max="1" width="30.625" style="112" customWidth="1"/>
    <col min="2" max="3" width="9.375" style="113" customWidth="1"/>
    <col min="4" max="4" width="9.375" style="114" customWidth="1"/>
    <col min="5" max="6" width="9.375" style="382" customWidth="1"/>
    <col min="7" max="248" width="9.00390625" style="115" customWidth="1"/>
    <col min="249" max="16384" width="9.00390625" style="1" customWidth="1"/>
  </cols>
  <sheetData>
    <row r="1" spans="1:6" s="106" customFormat="1" ht="21.75" customHeight="1">
      <c r="A1" s="82" t="s">
        <v>316</v>
      </c>
      <c r="B1" s="116"/>
      <c r="C1" s="116"/>
      <c r="D1" s="116"/>
      <c r="E1" s="383"/>
      <c r="F1" s="384"/>
    </row>
    <row r="2" spans="1:6" s="381" customFormat="1" ht="27.75" customHeight="1">
      <c r="A2" s="85" t="s">
        <v>317</v>
      </c>
      <c r="B2" s="85"/>
      <c r="C2" s="85"/>
      <c r="D2" s="85"/>
      <c r="E2" s="85"/>
      <c r="F2" s="85"/>
    </row>
    <row r="3" spans="1:6" s="108" customFormat="1" ht="20.25" customHeight="1">
      <c r="A3" s="76"/>
      <c r="B3" s="117"/>
      <c r="C3" s="117"/>
      <c r="D3" s="86"/>
      <c r="E3" s="385"/>
      <c r="F3" s="385" t="s">
        <v>3</v>
      </c>
    </row>
    <row r="4" spans="1:248" s="109" customFormat="1" ht="18" customHeight="1">
      <c r="A4" s="386" t="s">
        <v>239</v>
      </c>
      <c r="B4" s="379" t="s">
        <v>5</v>
      </c>
      <c r="C4" s="379" t="s">
        <v>6</v>
      </c>
      <c r="D4" s="379" t="s">
        <v>8</v>
      </c>
      <c r="E4" s="379"/>
      <c r="F4" s="379"/>
      <c r="IL4" s="111"/>
      <c r="IM4" s="111"/>
      <c r="IN4" s="111"/>
    </row>
    <row r="5" spans="1:248" s="109" customFormat="1" ht="21" customHeight="1">
      <c r="A5" s="386"/>
      <c r="B5" s="379"/>
      <c r="C5" s="379"/>
      <c r="D5" s="379" t="s">
        <v>240</v>
      </c>
      <c r="E5" s="379" t="s">
        <v>241</v>
      </c>
      <c r="F5" s="379" t="s">
        <v>242</v>
      </c>
      <c r="IL5" s="111"/>
      <c r="IM5" s="111"/>
      <c r="IN5" s="111"/>
    </row>
    <row r="6" spans="1:248" s="110" customFormat="1" ht="19.5" customHeight="1">
      <c r="A6" s="387" t="s">
        <v>263</v>
      </c>
      <c r="B6" s="388">
        <v>199971.470777</v>
      </c>
      <c r="C6" s="389">
        <v>226125.981274</v>
      </c>
      <c r="D6" s="389">
        <f>D12+D16+D20+D23+D26+D31</f>
        <v>230893.37359600002</v>
      </c>
      <c r="E6" s="390">
        <f aca="true" t="shared" si="0" ref="E6:E13">(D6/C6)*100</f>
        <v>102.10829038535971</v>
      </c>
      <c r="F6" s="391">
        <f aca="true" t="shared" si="1" ref="F6:F14">(D6/B6-1)*100</f>
        <v>15.46315716879576</v>
      </c>
      <c r="IL6" s="112"/>
      <c r="IM6" s="112"/>
      <c r="IN6" s="112"/>
    </row>
    <row r="7" spans="1:248" s="111" customFormat="1" ht="19.5" customHeight="1">
      <c r="A7" s="125" t="s">
        <v>264</v>
      </c>
      <c r="B7" s="97">
        <v>193601.196202</v>
      </c>
      <c r="C7" s="98">
        <v>215529.308542</v>
      </c>
      <c r="D7" s="98">
        <f>D13+D17+D21+D24+D27+D32</f>
        <v>223053.79999600002</v>
      </c>
      <c r="E7" s="392">
        <f t="shared" si="0"/>
        <v>103.49116855842078</v>
      </c>
      <c r="F7" s="393">
        <f t="shared" si="1"/>
        <v>15.213027797240319</v>
      </c>
      <c r="IL7" s="112"/>
      <c r="IM7" s="112"/>
      <c r="IN7" s="112"/>
    </row>
    <row r="8" spans="1:248" s="111" customFormat="1" ht="19.5" customHeight="1">
      <c r="A8" s="124" t="s">
        <v>318</v>
      </c>
      <c r="B8" s="97">
        <v>0</v>
      </c>
      <c r="C8" s="98">
        <v>5000</v>
      </c>
      <c r="D8" s="98">
        <f>D18+D22</f>
        <v>2200</v>
      </c>
      <c r="E8" s="392">
        <f t="shared" si="0"/>
        <v>44</v>
      </c>
      <c r="F8" s="393">
        <v>0</v>
      </c>
      <c r="IL8" s="112"/>
      <c r="IM8" s="112"/>
      <c r="IN8" s="112"/>
    </row>
    <row r="9" spans="1:248" s="111" customFormat="1" ht="19.5" customHeight="1">
      <c r="A9" s="124" t="s">
        <v>319</v>
      </c>
      <c r="B9" s="97">
        <v>736.184575</v>
      </c>
      <c r="C9" s="98">
        <v>1032.364786</v>
      </c>
      <c r="D9" s="98">
        <f>D14+D19+D28</f>
        <v>636.35</v>
      </c>
      <c r="E9" s="392">
        <f t="shared" si="0"/>
        <v>61.64003350652838</v>
      </c>
      <c r="F9" s="393">
        <f t="shared" si="1"/>
        <v>-13.56107943446112</v>
      </c>
      <c r="IL9" s="112"/>
      <c r="IM9" s="112"/>
      <c r="IN9" s="112"/>
    </row>
    <row r="10" spans="1:6" s="112" customFormat="1" ht="19.5" customHeight="1">
      <c r="A10" s="126" t="s">
        <v>320</v>
      </c>
      <c r="B10" s="123">
        <v>4818.18</v>
      </c>
      <c r="C10" s="394">
        <v>3748.382946</v>
      </c>
      <c r="D10" s="98">
        <v>3095.2236</v>
      </c>
      <c r="E10" s="392">
        <f t="shared" si="0"/>
        <v>82.5749034874624</v>
      </c>
      <c r="F10" s="393">
        <f t="shared" si="1"/>
        <v>-35.759485946975836</v>
      </c>
    </row>
    <row r="11" spans="1:6" s="112" customFormat="1" ht="19.5" customHeight="1">
      <c r="A11" s="126" t="s">
        <v>321</v>
      </c>
      <c r="B11" s="123">
        <v>815</v>
      </c>
      <c r="C11" s="394">
        <v>815</v>
      </c>
      <c r="D11" s="123">
        <v>1908</v>
      </c>
      <c r="E11" s="392">
        <f t="shared" si="0"/>
        <v>234.11042944785274</v>
      </c>
      <c r="F11" s="393">
        <f t="shared" si="1"/>
        <v>134.11042944785274</v>
      </c>
    </row>
    <row r="12" spans="1:248" s="111" customFormat="1" ht="19.5" customHeight="1">
      <c r="A12" s="124" t="s">
        <v>268</v>
      </c>
      <c r="B12" s="97">
        <v>106507.915333</v>
      </c>
      <c r="C12" s="98">
        <v>114676.987566</v>
      </c>
      <c r="D12" s="97">
        <v>122836.272281</v>
      </c>
      <c r="E12" s="392">
        <f t="shared" si="0"/>
        <v>107.11501486756801</v>
      </c>
      <c r="F12" s="393">
        <f t="shared" si="1"/>
        <v>15.330651151089514</v>
      </c>
      <c r="IL12" s="112"/>
      <c r="IM12" s="112"/>
      <c r="IN12" s="112"/>
    </row>
    <row r="13" spans="1:248" s="111" customFormat="1" ht="19.5" customHeight="1">
      <c r="A13" s="125" t="s">
        <v>269</v>
      </c>
      <c r="B13" s="97">
        <v>105841.734137</v>
      </c>
      <c r="C13" s="98">
        <v>113884.62278</v>
      </c>
      <c r="D13" s="97">
        <v>121471.272281</v>
      </c>
      <c r="E13" s="392">
        <f t="shared" si="0"/>
        <v>106.66169787966521</v>
      </c>
      <c r="F13" s="393">
        <f t="shared" si="1"/>
        <v>14.766895375853672</v>
      </c>
      <c r="IL13" s="112"/>
      <c r="IM13" s="112"/>
      <c r="IN13" s="112"/>
    </row>
    <row r="14" spans="1:248" s="111" customFormat="1" ht="19.5" customHeight="1">
      <c r="A14" s="124" t="s">
        <v>273</v>
      </c>
      <c r="B14" s="97">
        <v>666.181196</v>
      </c>
      <c r="C14" s="98">
        <v>792.364786</v>
      </c>
      <c r="D14" s="97">
        <v>596</v>
      </c>
      <c r="E14" s="392">
        <f aca="true" t="shared" si="2" ref="E14:E21">(D14/C14)*100</f>
        <v>75.21788077038548</v>
      </c>
      <c r="F14" s="393">
        <f t="shared" si="1"/>
        <v>-10.53485094166483</v>
      </c>
      <c r="IL14" s="112"/>
      <c r="IM14" s="112"/>
      <c r="IN14" s="112"/>
    </row>
    <row r="15" spans="1:248" s="111" customFormat="1" ht="19.5" customHeight="1">
      <c r="A15" s="124" t="s">
        <v>271</v>
      </c>
      <c r="B15" s="97">
        <v>0</v>
      </c>
      <c r="C15" s="98">
        <v>0</v>
      </c>
      <c r="D15" s="97">
        <v>769</v>
      </c>
      <c r="E15" s="392">
        <v>0</v>
      </c>
      <c r="F15" s="393">
        <v>0</v>
      </c>
      <c r="IL15" s="112"/>
      <c r="IM15" s="112"/>
      <c r="IN15" s="112"/>
    </row>
    <row r="16" spans="1:248" s="111" customFormat="1" ht="19.5" customHeight="1">
      <c r="A16" s="124" t="s">
        <v>322</v>
      </c>
      <c r="B16" s="97">
        <v>45493.092072</v>
      </c>
      <c r="C16" s="98">
        <v>55953</v>
      </c>
      <c r="D16" s="97">
        <v>53523.664768</v>
      </c>
      <c r="E16" s="392">
        <f t="shared" si="2"/>
        <v>95.65825740889676</v>
      </c>
      <c r="F16" s="393">
        <f>(D16/B16-1)*100</f>
        <v>17.652290337377718</v>
      </c>
      <c r="IL16" s="112"/>
      <c r="IM16" s="112"/>
      <c r="IN16" s="112"/>
    </row>
    <row r="17" spans="1:248" s="111" customFormat="1" ht="19.5" customHeight="1">
      <c r="A17" s="125" t="s">
        <v>269</v>
      </c>
      <c r="B17" s="97">
        <v>45493.092072</v>
      </c>
      <c r="C17" s="98">
        <v>50753</v>
      </c>
      <c r="D17" s="97">
        <v>51523.314768</v>
      </c>
      <c r="E17" s="392">
        <f t="shared" si="2"/>
        <v>101.51777189131677</v>
      </c>
      <c r="F17" s="393">
        <f>(D17/B17-1)*100</f>
        <v>13.255249140806292</v>
      </c>
      <c r="IL17" s="112"/>
      <c r="IM17" s="112"/>
      <c r="IN17" s="112"/>
    </row>
    <row r="18" spans="1:248" s="111" customFormat="1" ht="19.5" customHeight="1">
      <c r="A18" s="124" t="s">
        <v>275</v>
      </c>
      <c r="B18" s="97">
        <v>0</v>
      </c>
      <c r="C18" s="98">
        <v>5000</v>
      </c>
      <c r="D18" s="97">
        <v>2000</v>
      </c>
      <c r="E18" s="392">
        <f t="shared" si="2"/>
        <v>40</v>
      </c>
      <c r="F18" s="393">
        <v>0</v>
      </c>
      <c r="IL18" s="112"/>
      <c r="IM18" s="112"/>
      <c r="IN18" s="112"/>
    </row>
    <row r="19" spans="1:248" s="111" customFormat="1" ht="19.5" customHeight="1">
      <c r="A19" s="124" t="s">
        <v>273</v>
      </c>
      <c r="B19" s="97">
        <v>0</v>
      </c>
      <c r="C19" s="98">
        <v>200</v>
      </c>
      <c r="D19" s="97">
        <v>0.35</v>
      </c>
      <c r="E19" s="392">
        <f t="shared" si="2"/>
        <v>0.175</v>
      </c>
      <c r="F19" s="393">
        <v>0</v>
      </c>
      <c r="IL19" s="112"/>
      <c r="IM19" s="112"/>
      <c r="IN19" s="112"/>
    </row>
    <row r="20" spans="1:6" s="112" customFormat="1" ht="19.5" customHeight="1">
      <c r="A20" s="126" t="s">
        <v>323</v>
      </c>
      <c r="B20" s="123">
        <v>33671.68633</v>
      </c>
      <c r="C20" s="394">
        <v>38519.12241</v>
      </c>
      <c r="D20" s="123">
        <v>37694.929462</v>
      </c>
      <c r="E20" s="392">
        <f t="shared" si="2"/>
        <v>97.86030185416158</v>
      </c>
      <c r="F20" s="393">
        <f>(D20/B20-1)*100</f>
        <v>11.948445624523018</v>
      </c>
    </row>
    <row r="21" spans="1:248" s="111" customFormat="1" ht="19.5" customHeight="1">
      <c r="A21" s="125" t="s">
        <v>269</v>
      </c>
      <c r="B21" s="123">
        <v>33668.703269</v>
      </c>
      <c r="C21" s="394">
        <v>38519.12241</v>
      </c>
      <c r="D21" s="97">
        <v>37494.929462</v>
      </c>
      <c r="E21" s="392">
        <f t="shared" si="2"/>
        <v>97.34107922527822</v>
      </c>
      <c r="F21" s="393">
        <f>(D21/B21-1)*100</f>
        <v>11.364340831394436</v>
      </c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</row>
    <row r="22" spans="1:248" s="111" customFormat="1" ht="19.5" customHeight="1">
      <c r="A22" s="124" t="s">
        <v>275</v>
      </c>
      <c r="B22" s="123">
        <v>0</v>
      </c>
      <c r="C22" s="394">
        <v>0</v>
      </c>
      <c r="D22" s="97">
        <v>200</v>
      </c>
      <c r="E22" s="392">
        <v>0</v>
      </c>
      <c r="F22" s="393">
        <v>0</v>
      </c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</row>
    <row r="23" spans="1:6" s="112" customFormat="1" ht="19.5" customHeight="1">
      <c r="A23" s="126" t="s">
        <v>324</v>
      </c>
      <c r="B23" s="123">
        <v>847.574779</v>
      </c>
      <c r="C23" s="394">
        <v>869.663047</v>
      </c>
      <c r="D23" s="123">
        <v>962.153957</v>
      </c>
      <c r="E23" s="392">
        <f>(D23/C23)*100</f>
        <v>110.63525814038641</v>
      </c>
      <c r="F23" s="393">
        <f>(D23/B23-1)*100</f>
        <v>13.518474220668143</v>
      </c>
    </row>
    <row r="24" spans="1:248" s="111" customFormat="1" ht="19.5" customHeight="1">
      <c r="A24" s="125" t="s">
        <v>269</v>
      </c>
      <c r="B24" s="123">
        <v>846.664779</v>
      </c>
      <c r="C24" s="394">
        <v>868.738047</v>
      </c>
      <c r="D24" s="97">
        <v>735.153957</v>
      </c>
      <c r="E24" s="392">
        <f>(D24/C24)*100</f>
        <v>84.6232025336862</v>
      </c>
      <c r="F24" s="393">
        <f>(D24/B24-1)*100</f>
        <v>-13.170598891772245</v>
      </c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</row>
    <row r="25" spans="1:248" s="111" customFormat="1" ht="19.5" customHeight="1">
      <c r="A25" s="124" t="s">
        <v>279</v>
      </c>
      <c r="B25" s="123">
        <v>0</v>
      </c>
      <c r="C25" s="98">
        <v>0</v>
      </c>
      <c r="D25" s="97">
        <v>227</v>
      </c>
      <c r="E25" s="392">
        <v>0</v>
      </c>
      <c r="F25" s="393">
        <v>0</v>
      </c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</row>
    <row r="26" spans="1:6" s="112" customFormat="1" ht="19.5" customHeight="1">
      <c r="A26" s="126" t="s">
        <v>325</v>
      </c>
      <c r="B26" s="123">
        <v>11883.066372</v>
      </c>
      <c r="C26" s="394">
        <v>14703.909016</v>
      </c>
      <c r="D26" s="123">
        <v>13099.93499</v>
      </c>
      <c r="E26" s="392">
        <f aca="true" t="shared" si="3" ref="E26:E32">(D26/C26)*100</f>
        <v>89.09151284699435</v>
      </c>
      <c r="F26" s="393">
        <f aca="true" t="shared" si="4" ref="F26:F32">(D26/B26-1)*100</f>
        <v>10.240358674317429</v>
      </c>
    </row>
    <row r="27" spans="1:248" s="111" customFormat="1" ht="19.5" customHeight="1">
      <c r="A27" s="125" t="s">
        <v>269</v>
      </c>
      <c r="B27" s="123">
        <v>6182.866054</v>
      </c>
      <c r="C27" s="394">
        <v>10100.52607</v>
      </c>
      <c r="D27" s="97">
        <v>9052.71139</v>
      </c>
      <c r="E27" s="392">
        <f t="shared" si="3"/>
        <v>89.62613756215968</v>
      </c>
      <c r="F27" s="393">
        <f t="shared" si="4"/>
        <v>46.41610073605518</v>
      </c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</row>
    <row r="28" spans="1:248" s="111" customFormat="1" ht="19.5" customHeight="1">
      <c r="A28" s="124" t="s">
        <v>273</v>
      </c>
      <c r="B28" s="123">
        <v>67.020318</v>
      </c>
      <c r="C28" s="394">
        <v>40</v>
      </c>
      <c r="D28" s="97">
        <v>40</v>
      </c>
      <c r="E28" s="392">
        <f t="shared" si="3"/>
        <v>100</v>
      </c>
      <c r="F28" s="393">
        <f t="shared" si="4"/>
        <v>-40.31660667441178</v>
      </c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</row>
    <row r="29" spans="1:6" s="112" customFormat="1" ht="19.5" customHeight="1">
      <c r="A29" s="126" t="s">
        <v>326</v>
      </c>
      <c r="B29" s="123">
        <v>4818.18</v>
      </c>
      <c r="C29" s="394">
        <v>3748.382946</v>
      </c>
      <c r="D29" s="123">
        <v>3095.2236</v>
      </c>
      <c r="E29" s="392">
        <f t="shared" si="3"/>
        <v>82.5749034874624</v>
      </c>
      <c r="F29" s="393">
        <f t="shared" si="4"/>
        <v>-35.759485946975836</v>
      </c>
    </row>
    <row r="30" spans="1:6" s="112" customFormat="1" ht="19.5" customHeight="1">
      <c r="A30" s="126" t="s">
        <v>279</v>
      </c>
      <c r="B30" s="123">
        <v>815</v>
      </c>
      <c r="C30" s="394">
        <v>815</v>
      </c>
      <c r="D30" s="123">
        <v>912</v>
      </c>
      <c r="E30" s="392">
        <f t="shared" si="3"/>
        <v>111.90184049079754</v>
      </c>
      <c r="F30" s="393">
        <f t="shared" si="4"/>
        <v>11.901840490797543</v>
      </c>
    </row>
    <row r="31" spans="1:6" s="112" customFormat="1" ht="19.5" customHeight="1">
      <c r="A31" s="126" t="s">
        <v>327</v>
      </c>
      <c r="B31" s="123">
        <v>1568.135891</v>
      </c>
      <c r="C31" s="394">
        <v>1403.299235</v>
      </c>
      <c r="D31" s="123">
        <v>2776.418138</v>
      </c>
      <c r="E31" s="392">
        <f t="shared" si="3"/>
        <v>197.84933026062686</v>
      </c>
      <c r="F31" s="393">
        <f t="shared" si="4"/>
        <v>77.05213903557038</v>
      </c>
    </row>
    <row r="32" spans="1:248" s="111" customFormat="1" ht="19.5" customHeight="1">
      <c r="A32" s="125" t="s">
        <v>269</v>
      </c>
      <c r="B32" s="123">
        <v>1568.135891</v>
      </c>
      <c r="C32" s="394">
        <v>1403.299235</v>
      </c>
      <c r="D32" s="128">
        <v>2776.418138</v>
      </c>
      <c r="E32" s="395">
        <f t="shared" si="3"/>
        <v>197.84933026062686</v>
      </c>
      <c r="F32" s="396">
        <f t="shared" si="4"/>
        <v>77.05213903557038</v>
      </c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  <c r="HR32" s="112"/>
      <c r="HS32" s="112"/>
      <c r="HT32" s="112"/>
      <c r="HU32" s="112"/>
      <c r="HV32" s="112"/>
      <c r="HW32" s="112"/>
      <c r="HX32" s="112"/>
      <c r="HY32" s="112"/>
      <c r="HZ32" s="112"/>
      <c r="IA32" s="112"/>
      <c r="IB32" s="112"/>
      <c r="IC32" s="112"/>
      <c r="ID32" s="112"/>
      <c r="IE32" s="112"/>
      <c r="IF32" s="112"/>
      <c r="IG32" s="112"/>
      <c r="IH32" s="112"/>
      <c r="II32" s="112"/>
      <c r="IJ32" s="112"/>
      <c r="IK32" s="112"/>
      <c r="IL32" s="112"/>
      <c r="IM32" s="112"/>
      <c r="IN32" s="112"/>
    </row>
    <row r="33" spans="1:6" s="112" customFormat="1" ht="51.75" customHeight="1">
      <c r="A33" s="397" t="s">
        <v>328</v>
      </c>
      <c r="B33" s="397"/>
      <c r="C33" s="397"/>
      <c r="D33" s="398"/>
      <c r="E33" s="398"/>
      <c r="F33" s="398"/>
    </row>
    <row r="34" spans="1:248" s="358" customFormat="1" ht="14.25">
      <c r="A34" s="112"/>
      <c r="B34" s="399"/>
      <c r="C34" s="399"/>
      <c r="D34" s="400"/>
      <c r="E34" s="401"/>
      <c r="F34" s="401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  <c r="HH34" s="112"/>
      <c r="HI34" s="112"/>
      <c r="HJ34" s="112"/>
      <c r="HK34" s="112"/>
      <c r="HL34" s="112"/>
      <c r="HM34" s="112"/>
      <c r="HN34" s="112"/>
      <c r="HO34" s="112"/>
      <c r="HP34" s="112"/>
      <c r="HQ34" s="112"/>
      <c r="HR34" s="112"/>
      <c r="HS34" s="112"/>
      <c r="HT34" s="112"/>
      <c r="HU34" s="112"/>
      <c r="HV34" s="112"/>
      <c r="HW34" s="112"/>
      <c r="HX34" s="112"/>
      <c r="HY34" s="112"/>
      <c r="HZ34" s="112"/>
      <c r="IA34" s="112"/>
      <c r="IB34" s="112"/>
      <c r="IC34" s="112"/>
      <c r="ID34" s="112"/>
      <c r="IE34" s="112"/>
      <c r="IF34" s="112"/>
      <c r="IG34" s="112"/>
      <c r="IH34" s="112"/>
      <c r="II34" s="112"/>
      <c r="IJ34" s="112"/>
      <c r="IK34" s="112"/>
      <c r="IL34" s="112"/>
      <c r="IM34" s="112"/>
      <c r="IN34" s="112"/>
    </row>
    <row r="35" spans="1:248" s="358" customFormat="1" ht="14.25">
      <c r="A35" s="112"/>
      <c r="B35" s="399"/>
      <c r="C35" s="399"/>
      <c r="D35" s="400"/>
      <c r="E35" s="401"/>
      <c r="F35" s="401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  <c r="HX35" s="112"/>
      <c r="HY35" s="112"/>
      <c r="HZ35" s="112"/>
      <c r="IA35" s="112"/>
      <c r="IB35" s="112"/>
      <c r="IC35" s="112"/>
      <c r="ID35" s="112"/>
      <c r="IE35" s="112"/>
      <c r="IF35" s="112"/>
      <c r="IG35" s="112"/>
      <c r="IH35" s="112"/>
      <c r="II35" s="112"/>
      <c r="IJ35" s="112"/>
      <c r="IK35" s="112"/>
      <c r="IL35" s="112"/>
      <c r="IM35" s="112"/>
      <c r="IN35" s="112"/>
    </row>
    <row r="36" spans="1:248" s="358" customFormat="1" ht="14.25">
      <c r="A36" s="112"/>
      <c r="B36" s="399"/>
      <c r="C36" s="399"/>
      <c r="D36" s="400"/>
      <c r="E36" s="401"/>
      <c r="F36" s="401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  <c r="HJ36" s="112"/>
      <c r="HK36" s="112"/>
      <c r="HL36" s="112"/>
      <c r="HM36" s="112"/>
      <c r="HN36" s="112"/>
      <c r="HO36" s="112"/>
      <c r="HP36" s="112"/>
      <c r="HQ36" s="112"/>
      <c r="HR36" s="112"/>
      <c r="HS36" s="112"/>
      <c r="HT36" s="112"/>
      <c r="HU36" s="112"/>
      <c r="HV36" s="112"/>
      <c r="HW36" s="112"/>
      <c r="HX36" s="112"/>
      <c r="HY36" s="112"/>
      <c r="HZ36" s="112"/>
      <c r="IA36" s="112"/>
      <c r="IB36" s="112"/>
      <c r="IC36" s="112"/>
      <c r="ID36" s="112"/>
      <c r="IE36" s="112"/>
      <c r="IF36" s="112"/>
      <c r="IG36" s="112"/>
      <c r="IH36" s="112"/>
      <c r="II36" s="112"/>
      <c r="IJ36" s="112"/>
      <c r="IK36" s="112"/>
      <c r="IL36" s="112"/>
      <c r="IM36" s="112"/>
      <c r="IN36" s="112"/>
    </row>
    <row r="37" spans="1:248" s="358" customFormat="1" ht="14.25">
      <c r="A37" s="112"/>
      <c r="B37" s="399"/>
      <c r="C37" s="399"/>
      <c r="D37" s="400"/>
      <c r="E37" s="401"/>
      <c r="F37" s="401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  <c r="HH37" s="112"/>
      <c r="HI37" s="112"/>
      <c r="HJ37" s="112"/>
      <c r="HK37" s="112"/>
      <c r="HL37" s="112"/>
      <c r="HM37" s="112"/>
      <c r="HN37" s="112"/>
      <c r="HO37" s="112"/>
      <c r="HP37" s="112"/>
      <c r="HQ37" s="112"/>
      <c r="HR37" s="112"/>
      <c r="HS37" s="112"/>
      <c r="HT37" s="112"/>
      <c r="HU37" s="112"/>
      <c r="HV37" s="112"/>
      <c r="HW37" s="112"/>
      <c r="HX37" s="112"/>
      <c r="HY37" s="112"/>
      <c r="HZ37" s="112"/>
      <c r="IA37" s="112"/>
      <c r="IB37" s="112"/>
      <c r="IC37" s="112"/>
      <c r="ID37" s="112"/>
      <c r="IE37" s="112"/>
      <c r="IF37" s="112"/>
      <c r="IG37" s="112"/>
      <c r="IH37" s="112"/>
      <c r="II37" s="112"/>
      <c r="IJ37" s="112"/>
      <c r="IK37" s="112"/>
      <c r="IL37" s="112"/>
      <c r="IM37" s="112"/>
      <c r="IN37" s="112"/>
    </row>
    <row r="38" spans="1:248" s="358" customFormat="1" ht="14.25">
      <c r="A38" s="112"/>
      <c r="B38" s="399"/>
      <c r="C38" s="399"/>
      <c r="D38" s="400"/>
      <c r="E38" s="401"/>
      <c r="F38" s="401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H38" s="112"/>
      <c r="HI38" s="112"/>
      <c r="HJ38" s="112"/>
      <c r="HK38" s="112"/>
      <c r="HL38" s="112"/>
      <c r="HM38" s="112"/>
      <c r="HN38" s="112"/>
      <c r="HO38" s="112"/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</row>
    <row r="39" spans="1:248" s="358" customFormat="1" ht="14.25">
      <c r="A39" s="112"/>
      <c r="B39" s="399"/>
      <c r="C39" s="399"/>
      <c r="D39" s="400"/>
      <c r="E39" s="401"/>
      <c r="F39" s="401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  <c r="HH39" s="112"/>
      <c r="HI39" s="112"/>
      <c r="HJ39" s="112"/>
      <c r="HK39" s="112"/>
      <c r="HL39" s="112"/>
      <c r="HM39" s="112"/>
      <c r="HN39" s="112"/>
      <c r="HO39" s="112"/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</row>
  </sheetData>
  <sheetProtection/>
  <mergeCells count="6">
    <mergeCell ref="A2:F2"/>
    <mergeCell ref="D4:F4"/>
    <mergeCell ref="A33:F33"/>
    <mergeCell ref="A4:A5"/>
    <mergeCell ref="B4:B5"/>
    <mergeCell ref="C4:C5"/>
  </mergeCells>
  <printOptions horizontalCentered="1" verticalCentered="1"/>
  <pageMargins left="0.71" right="0.71" top="0.75" bottom="0.9" header="0.31" footer="0.3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N46"/>
  <sheetViews>
    <sheetView zoomScale="85" zoomScaleNormal="85" zoomScaleSheetLayoutView="100" workbookViewId="0" topLeftCell="A1">
      <selection activeCell="A5" sqref="A5"/>
    </sheetView>
  </sheetViews>
  <sheetFormatPr defaultColWidth="9.00390625" defaultRowHeight="14.25"/>
  <cols>
    <col min="1" max="1" width="42.50390625" style="80" customWidth="1"/>
    <col min="2" max="3" width="17.125" style="81" customWidth="1"/>
    <col min="4" max="4" width="9.00390625" style="136" customWidth="1"/>
    <col min="5" max="248" width="9.00390625" style="79" customWidth="1"/>
    <col min="249" max="16384" width="9.00390625" style="1" customWidth="1"/>
  </cols>
  <sheetData>
    <row r="1" spans="1:4" s="74" customFormat="1" ht="13.5">
      <c r="A1" s="82" t="s">
        <v>329</v>
      </c>
      <c r="B1" s="83"/>
      <c r="C1" s="84"/>
      <c r="D1" s="145"/>
    </row>
    <row r="2" spans="1:6" s="79" customFormat="1" ht="36" customHeight="1">
      <c r="A2" s="376" t="s">
        <v>330</v>
      </c>
      <c r="B2" s="376"/>
      <c r="C2" s="376"/>
      <c r="D2" s="377"/>
      <c r="E2" s="75"/>
      <c r="F2" s="75"/>
    </row>
    <row r="3" spans="2:4" s="76" customFormat="1" ht="21.75" customHeight="1">
      <c r="B3" s="86"/>
      <c r="C3" s="88" t="s">
        <v>3</v>
      </c>
      <c r="D3" s="147"/>
    </row>
    <row r="4" spans="1:248" s="77" customFormat="1" ht="43.5" customHeight="1">
      <c r="A4" s="378" t="s">
        <v>239</v>
      </c>
      <c r="B4" s="379" t="s">
        <v>285</v>
      </c>
      <c r="C4" s="379" t="s">
        <v>8</v>
      </c>
      <c r="D4" s="14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</row>
    <row r="5" spans="1:5" s="78" customFormat="1" ht="39.75" customHeight="1">
      <c r="A5" s="93" t="s">
        <v>286</v>
      </c>
      <c r="B5" s="94">
        <v>6184.498308</v>
      </c>
      <c r="C5" s="94">
        <f>SUM(C6:C11)</f>
        <v>34051.573918</v>
      </c>
      <c r="D5" s="140"/>
      <c r="E5" s="140"/>
    </row>
    <row r="6" spans="1:248" s="78" customFormat="1" ht="39.75" customHeight="1">
      <c r="A6" s="96" t="s">
        <v>287</v>
      </c>
      <c r="B6" s="94">
        <v>-729.820954</v>
      </c>
      <c r="C6" s="97">
        <v>22857.03804</v>
      </c>
      <c r="D6" s="14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</row>
    <row r="7" spans="1:248" s="78" customFormat="1" ht="39.75" customHeight="1">
      <c r="A7" s="96" t="s">
        <v>331</v>
      </c>
      <c r="B7" s="94">
        <v>1238.759429</v>
      </c>
      <c r="C7" s="97">
        <v>-844.473016000003</v>
      </c>
      <c r="D7" s="14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</row>
    <row r="8" spans="1:248" s="78" customFormat="1" ht="39.75" customHeight="1">
      <c r="A8" s="100" t="s">
        <v>332</v>
      </c>
      <c r="B8" s="94">
        <v>1730.304371</v>
      </c>
      <c r="C8" s="94">
        <v>2834.26664300001</v>
      </c>
      <c r="D8" s="14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</row>
    <row r="9" spans="1:248" s="78" customFormat="1" ht="39.75" customHeight="1">
      <c r="A9" s="100" t="s">
        <v>333</v>
      </c>
      <c r="B9" s="94">
        <v>1173.373862</v>
      </c>
      <c r="C9" s="94">
        <v>2099.734728</v>
      </c>
      <c r="D9" s="14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</row>
    <row r="10" spans="1:4" s="80" customFormat="1" ht="39.75" customHeight="1">
      <c r="A10" s="101" t="s">
        <v>334</v>
      </c>
      <c r="B10" s="94">
        <v>3130.324594</v>
      </c>
      <c r="C10" s="94">
        <v>8347.515613</v>
      </c>
      <c r="D10" s="140"/>
    </row>
    <row r="11" spans="1:4" s="80" customFormat="1" ht="39.75" customHeight="1">
      <c r="A11" s="102" t="s">
        <v>335</v>
      </c>
      <c r="B11" s="94">
        <v>-358.442994</v>
      </c>
      <c r="C11" s="94">
        <v>-1242.50809</v>
      </c>
      <c r="D11" s="140"/>
    </row>
    <row r="12" spans="1:248" s="78" customFormat="1" ht="39.75" customHeight="1">
      <c r="A12" s="96" t="s">
        <v>295</v>
      </c>
      <c r="B12" s="94">
        <f>SUM(B13:B18)</f>
        <v>147008.85274600002</v>
      </c>
      <c r="C12" s="94">
        <f>SUM(C13:C18)</f>
        <v>181060.42666399997</v>
      </c>
      <c r="D12" s="14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</row>
    <row r="13" spans="1:248" s="78" customFormat="1" ht="39.75" customHeight="1">
      <c r="A13" s="96" t="s">
        <v>296</v>
      </c>
      <c r="B13" s="94">
        <v>44125.846469</v>
      </c>
      <c r="C13" s="97">
        <v>66982.884509</v>
      </c>
      <c r="D13" s="14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</row>
    <row r="14" spans="1:248" s="78" customFormat="1" ht="39.75" customHeight="1">
      <c r="A14" s="96" t="s">
        <v>336</v>
      </c>
      <c r="B14" s="94">
        <v>5243.693782</v>
      </c>
      <c r="C14" s="97">
        <v>4399.220766</v>
      </c>
      <c r="D14" s="14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</row>
    <row r="15" spans="1:248" s="78" customFormat="1" ht="39.75" customHeight="1">
      <c r="A15" s="100" t="s">
        <v>337</v>
      </c>
      <c r="B15" s="94">
        <v>23328.368166</v>
      </c>
      <c r="C15" s="94">
        <v>26162.634809</v>
      </c>
      <c r="D15" s="14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</row>
    <row r="16" spans="1:248" s="78" customFormat="1" ht="39.75" customHeight="1">
      <c r="A16" s="100" t="s">
        <v>338</v>
      </c>
      <c r="B16" s="94">
        <v>12550.985825</v>
      </c>
      <c r="C16" s="94">
        <v>14650.720553</v>
      </c>
      <c r="D16" s="14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</row>
    <row r="17" spans="1:4" s="80" customFormat="1" ht="39.75" customHeight="1">
      <c r="A17" s="101" t="s">
        <v>339</v>
      </c>
      <c r="B17" s="94">
        <v>58133.320328</v>
      </c>
      <c r="C17" s="94">
        <v>66480.835941</v>
      </c>
      <c r="D17" s="140"/>
    </row>
    <row r="18" spans="1:4" s="80" customFormat="1" ht="39.75" customHeight="1">
      <c r="A18" s="103" t="s">
        <v>340</v>
      </c>
      <c r="B18" s="104">
        <v>3626.638176</v>
      </c>
      <c r="C18" s="104">
        <v>2384.130086</v>
      </c>
      <c r="D18" s="140"/>
    </row>
    <row r="19" spans="2:4" s="80" customFormat="1" ht="14.25">
      <c r="B19" s="380"/>
      <c r="C19" s="380"/>
      <c r="D19" s="148"/>
    </row>
    <row r="20" spans="2:4" s="80" customFormat="1" ht="14.25">
      <c r="B20" s="380"/>
      <c r="C20" s="380"/>
      <c r="D20" s="148"/>
    </row>
    <row r="21" spans="2:4" s="80" customFormat="1" ht="14.25">
      <c r="B21" s="380"/>
      <c r="C21" s="380"/>
      <c r="D21" s="148"/>
    </row>
    <row r="22" spans="2:4" s="80" customFormat="1" ht="14.25">
      <c r="B22" s="380"/>
      <c r="C22" s="380"/>
      <c r="D22" s="148"/>
    </row>
    <row r="23" spans="2:4" s="80" customFormat="1" ht="14.25">
      <c r="B23" s="380"/>
      <c r="C23" s="380"/>
      <c r="D23" s="148"/>
    </row>
    <row r="24" spans="2:4" s="80" customFormat="1" ht="14.25">
      <c r="B24" s="380"/>
      <c r="C24" s="380"/>
      <c r="D24" s="148"/>
    </row>
    <row r="25" spans="2:4" s="80" customFormat="1" ht="14.25">
      <c r="B25" s="380"/>
      <c r="C25" s="380"/>
      <c r="D25" s="148"/>
    </row>
    <row r="26" spans="2:4" s="80" customFormat="1" ht="14.25">
      <c r="B26" s="380"/>
      <c r="C26" s="380"/>
      <c r="D26" s="148"/>
    </row>
    <row r="27" spans="1:248" s="358" customFormat="1" ht="14.25">
      <c r="A27" s="80"/>
      <c r="B27" s="380"/>
      <c r="C27" s="380"/>
      <c r="D27" s="136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</row>
    <row r="28" spans="1:248" s="358" customFormat="1" ht="14.25">
      <c r="A28" s="80"/>
      <c r="B28" s="380"/>
      <c r="C28" s="380"/>
      <c r="D28" s="136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</row>
    <row r="29" spans="1:248" s="358" customFormat="1" ht="14.25">
      <c r="A29" s="80"/>
      <c r="B29" s="380"/>
      <c r="C29" s="380"/>
      <c r="D29" s="136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</row>
    <row r="30" spans="1:248" s="358" customFormat="1" ht="14.25">
      <c r="A30" s="80"/>
      <c r="B30" s="380"/>
      <c r="C30" s="380"/>
      <c r="D30" s="136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</row>
    <row r="31" spans="1:248" s="358" customFormat="1" ht="14.25">
      <c r="A31" s="80"/>
      <c r="B31" s="380"/>
      <c r="C31" s="380"/>
      <c r="D31" s="136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</row>
    <row r="32" spans="1:248" s="358" customFormat="1" ht="14.25">
      <c r="A32" s="80"/>
      <c r="B32" s="380"/>
      <c r="C32" s="380"/>
      <c r="D32" s="136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</row>
    <row r="33" spans="1:248" s="358" customFormat="1" ht="14.25">
      <c r="A33" s="80"/>
      <c r="B33" s="380"/>
      <c r="C33" s="380"/>
      <c r="D33" s="136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</row>
    <row r="34" spans="1:248" s="358" customFormat="1" ht="14.25">
      <c r="A34" s="80"/>
      <c r="B34" s="380"/>
      <c r="C34" s="380"/>
      <c r="D34" s="136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</row>
    <row r="35" spans="1:248" s="358" customFormat="1" ht="14.25">
      <c r="A35" s="80"/>
      <c r="B35" s="380"/>
      <c r="C35" s="380"/>
      <c r="D35" s="136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</row>
    <row r="36" spans="1:248" s="358" customFormat="1" ht="14.25">
      <c r="A36" s="80"/>
      <c r="B36" s="380"/>
      <c r="C36" s="380"/>
      <c r="D36" s="136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</row>
    <row r="37" spans="1:248" s="358" customFormat="1" ht="14.25">
      <c r="A37" s="80"/>
      <c r="B37" s="380"/>
      <c r="C37" s="380"/>
      <c r="D37" s="136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</row>
    <row r="38" spans="1:248" s="358" customFormat="1" ht="14.25">
      <c r="A38" s="80"/>
      <c r="B38" s="380"/>
      <c r="C38" s="380"/>
      <c r="D38" s="136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  <c r="IL38" s="80"/>
      <c r="IM38" s="80"/>
      <c r="IN38" s="80"/>
    </row>
    <row r="39" spans="1:248" s="358" customFormat="1" ht="14.25">
      <c r="A39" s="80"/>
      <c r="B39" s="380"/>
      <c r="C39" s="380"/>
      <c r="D39" s="136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  <c r="IL39" s="80"/>
      <c r="IM39" s="80"/>
      <c r="IN39" s="80"/>
    </row>
    <row r="40" spans="1:248" s="358" customFormat="1" ht="14.25">
      <c r="A40" s="80"/>
      <c r="B40" s="380"/>
      <c r="C40" s="380"/>
      <c r="D40" s="136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</row>
    <row r="41" spans="1:248" s="358" customFormat="1" ht="14.25">
      <c r="A41" s="80"/>
      <c r="B41" s="380"/>
      <c r="C41" s="380"/>
      <c r="D41" s="136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  <c r="IL41" s="80"/>
      <c r="IM41" s="80"/>
      <c r="IN41" s="80"/>
    </row>
    <row r="42" spans="1:248" s="358" customFormat="1" ht="14.25">
      <c r="A42" s="80"/>
      <c r="B42" s="380"/>
      <c r="C42" s="380"/>
      <c r="D42" s="136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  <c r="IL42" s="80"/>
      <c r="IM42" s="80"/>
      <c r="IN42" s="80"/>
    </row>
    <row r="43" spans="1:248" s="358" customFormat="1" ht="14.25">
      <c r="A43" s="80"/>
      <c r="B43" s="380"/>
      <c r="C43" s="380"/>
      <c r="D43" s="136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  <c r="IL43" s="80"/>
      <c r="IM43" s="80"/>
      <c r="IN43" s="80"/>
    </row>
    <row r="44" spans="1:248" s="358" customFormat="1" ht="14.25">
      <c r="A44" s="80"/>
      <c r="B44" s="380"/>
      <c r="C44" s="380"/>
      <c r="D44" s="136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  <c r="IL44" s="80"/>
      <c r="IM44" s="80"/>
      <c r="IN44" s="80"/>
    </row>
    <row r="45" spans="1:248" s="358" customFormat="1" ht="14.25">
      <c r="A45" s="80"/>
      <c r="B45" s="380"/>
      <c r="C45" s="380"/>
      <c r="D45" s="136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  <c r="IL45" s="80"/>
      <c r="IM45" s="80"/>
      <c r="IN45" s="80"/>
    </row>
    <row r="46" spans="1:248" s="358" customFormat="1" ht="14.25">
      <c r="A46" s="80"/>
      <c r="B46" s="380"/>
      <c r="C46" s="380"/>
      <c r="D46" s="136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  <c r="IL46" s="80"/>
      <c r="IM46" s="80"/>
      <c r="IN46" s="80"/>
    </row>
  </sheetData>
  <sheetProtection/>
  <mergeCells count="1">
    <mergeCell ref="A2:C2"/>
  </mergeCells>
  <printOptions horizontalCentered="1"/>
  <pageMargins left="0.75" right="0.75" top="0.75" bottom="0.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2:E12"/>
  <sheetViews>
    <sheetView workbookViewId="0" topLeftCell="A1">
      <selection activeCell="B12" sqref="B12"/>
    </sheetView>
  </sheetViews>
  <sheetFormatPr defaultColWidth="9.00390625" defaultRowHeight="14.25"/>
  <sheetData>
    <row r="12" spans="2:5" ht="56.25" customHeight="1">
      <c r="B12" s="562" t="s">
        <v>0</v>
      </c>
      <c r="C12" s="563"/>
      <c r="D12" s="563"/>
      <c r="E12" s="56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E16"/>
  <sheetViews>
    <sheetView workbookViewId="0" topLeftCell="A1">
      <selection activeCell="E12" sqref="E12"/>
    </sheetView>
  </sheetViews>
  <sheetFormatPr defaultColWidth="9.00390625" defaultRowHeight="14.25"/>
  <cols>
    <col min="1" max="1" width="55.00390625" style="1" customWidth="1"/>
    <col min="2" max="2" width="11.875" style="1" customWidth="1"/>
    <col min="3" max="3" width="14.75390625" style="1" customWidth="1"/>
    <col min="4" max="4" width="10.75390625" style="1" customWidth="1"/>
    <col min="5" max="5" width="27.625" style="1" customWidth="1"/>
    <col min="6" max="16384" width="9.00390625" style="1" customWidth="1"/>
  </cols>
  <sheetData>
    <row r="1" ht="18" customHeight="1">
      <c r="A1" s="356" t="s">
        <v>341</v>
      </c>
    </row>
    <row r="2" spans="1:5" ht="30" customHeight="1">
      <c r="A2" s="357" t="s">
        <v>342</v>
      </c>
      <c r="B2" s="357"/>
      <c r="C2" s="357"/>
      <c r="D2" s="357"/>
      <c r="E2" s="357"/>
    </row>
    <row r="3" spans="1:5" ht="25.5" customHeight="1">
      <c r="A3" s="358"/>
      <c r="E3" s="359" t="s">
        <v>343</v>
      </c>
    </row>
    <row r="4" spans="1:5" ht="33" customHeight="1">
      <c r="A4" s="360" t="s">
        <v>344</v>
      </c>
      <c r="B4" s="361" t="s">
        <v>345</v>
      </c>
      <c r="C4" s="362" t="s">
        <v>346</v>
      </c>
      <c r="D4" s="361" t="s">
        <v>347</v>
      </c>
      <c r="E4" s="361" t="s">
        <v>348</v>
      </c>
    </row>
    <row r="5" spans="1:5" ht="28.5" customHeight="1">
      <c r="A5" s="363" t="s">
        <v>349</v>
      </c>
      <c r="B5" s="364">
        <v>2142.63</v>
      </c>
      <c r="C5" s="364">
        <v>2142.63</v>
      </c>
      <c r="D5" s="364">
        <v>2400</v>
      </c>
      <c r="E5" s="274" t="s">
        <v>350</v>
      </c>
    </row>
    <row r="6" spans="1:5" ht="28.5" customHeight="1">
      <c r="A6" s="365" t="s">
        <v>351</v>
      </c>
      <c r="B6" s="364">
        <v>195.84</v>
      </c>
      <c r="C6" s="364">
        <v>195.84</v>
      </c>
      <c r="D6" s="364">
        <v>212.05</v>
      </c>
      <c r="E6" s="366" t="s">
        <v>352</v>
      </c>
    </row>
    <row r="7" spans="1:5" ht="28.5" customHeight="1">
      <c r="A7" s="365" t="s">
        <v>353</v>
      </c>
      <c r="B7" s="364">
        <v>147.4</v>
      </c>
      <c r="C7" s="364">
        <v>143.46</v>
      </c>
      <c r="D7" s="364">
        <v>145.2</v>
      </c>
      <c r="E7" s="366" t="s">
        <v>354</v>
      </c>
    </row>
    <row r="8" spans="1:5" ht="28.5" customHeight="1">
      <c r="A8" s="367" t="s">
        <v>355</v>
      </c>
      <c r="B8" s="364">
        <v>97.76</v>
      </c>
      <c r="C8" s="364">
        <v>94.32</v>
      </c>
      <c r="D8" s="364">
        <v>102.02</v>
      </c>
      <c r="E8" s="366" t="s">
        <v>356</v>
      </c>
    </row>
    <row r="9" spans="1:5" ht="28.5" customHeight="1">
      <c r="A9" s="368" t="s">
        <v>357</v>
      </c>
      <c r="B9" s="364">
        <f>B7-B8</f>
        <v>49.64</v>
      </c>
      <c r="C9" s="364">
        <f>C7-C8</f>
        <v>49.140000000000015</v>
      </c>
      <c r="D9" s="364">
        <f>D7-D8</f>
        <v>43.17999999999999</v>
      </c>
      <c r="E9" s="366" t="s">
        <v>358</v>
      </c>
    </row>
    <row r="10" spans="1:5" ht="28.5" customHeight="1">
      <c r="A10" s="369" t="s">
        <v>359</v>
      </c>
      <c r="B10" s="364">
        <f>B6/B5*100</f>
        <v>9.140168857898937</v>
      </c>
      <c r="C10" s="364">
        <f>C6/C5*100</f>
        <v>9.140168857898937</v>
      </c>
      <c r="D10" s="370">
        <f>D6/D5*100</f>
        <v>8.835416666666667</v>
      </c>
      <c r="E10" s="274" t="s">
        <v>360</v>
      </c>
    </row>
    <row r="11" spans="1:5" ht="28.5" customHeight="1">
      <c r="A11" s="369" t="s">
        <v>361</v>
      </c>
      <c r="B11" s="364">
        <f>B7/B5*100</f>
        <v>6.8793958826302255</v>
      </c>
      <c r="C11" s="364">
        <f>C7/C5*100</f>
        <v>6.695509724030748</v>
      </c>
      <c r="D11" s="370">
        <f>D7/D5*100</f>
        <v>6.05</v>
      </c>
      <c r="E11" s="274" t="s">
        <v>362</v>
      </c>
    </row>
    <row r="12" spans="1:5" ht="28.5" customHeight="1">
      <c r="A12" s="369" t="s">
        <v>363</v>
      </c>
      <c r="B12" s="364">
        <f>B8/B7*100</f>
        <v>66.32293080054275</v>
      </c>
      <c r="C12" s="364">
        <f>C8/C7*100</f>
        <v>65.7465495608532</v>
      </c>
      <c r="D12" s="364">
        <f>D8/D7*100</f>
        <v>70.26170798898072</v>
      </c>
      <c r="E12" s="366" t="s">
        <v>364</v>
      </c>
    </row>
    <row r="13" spans="1:5" ht="28.5" customHeight="1">
      <c r="A13" s="369" t="s">
        <v>365</v>
      </c>
      <c r="B13" s="364">
        <f>100-B12</f>
        <v>33.67706919945725</v>
      </c>
      <c r="C13" s="364">
        <f>100-C12</f>
        <v>34.2534504391468</v>
      </c>
      <c r="D13" s="364">
        <f>100-D12</f>
        <v>29.738292011019283</v>
      </c>
      <c r="E13" s="366" t="s">
        <v>366</v>
      </c>
    </row>
    <row r="14" spans="1:5" ht="28.5" customHeight="1">
      <c r="A14" s="371" t="s">
        <v>367</v>
      </c>
      <c r="B14" s="364">
        <f>B8-57.41</f>
        <v>40.35000000000001</v>
      </c>
      <c r="C14" s="364">
        <f>C8-57.41</f>
        <v>36.91</v>
      </c>
      <c r="D14" s="364">
        <v>45.64</v>
      </c>
      <c r="E14" s="366" t="s">
        <v>368</v>
      </c>
    </row>
    <row r="15" spans="1:5" ht="28.5" customHeight="1">
      <c r="A15" s="372" t="s">
        <v>369</v>
      </c>
      <c r="B15" s="364">
        <f>B14/B8%</f>
        <v>41.27454991816695</v>
      </c>
      <c r="C15" s="364">
        <f>C14/C8%</f>
        <v>39.13273960983884</v>
      </c>
      <c r="D15" s="364">
        <f>D14/D8%</f>
        <v>44.73632621054695</v>
      </c>
      <c r="E15" s="366" t="s">
        <v>370</v>
      </c>
    </row>
    <row r="16" spans="1:5" ht="28.5" customHeight="1">
      <c r="A16" s="373" t="s">
        <v>371</v>
      </c>
      <c r="B16" s="374">
        <f>B14/B7%</f>
        <v>27.374491180461337</v>
      </c>
      <c r="C16" s="374">
        <f>C14/C7%</f>
        <v>25.728426042102324</v>
      </c>
      <c r="D16" s="374">
        <f>D14/D7%</f>
        <v>31.432506887052345</v>
      </c>
      <c r="E16" s="375" t="s">
        <v>372</v>
      </c>
    </row>
  </sheetData>
  <sheetProtection/>
  <mergeCells count="1">
    <mergeCell ref="A2:E2"/>
  </mergeCells>
  <printOptions horizontalCentered="1"/>
  <pageMargins left="0.39" right="0.39" top="0.75" bottom="0.9" header="0.51" footer="0.51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1:G16"/>
  <sheetViews>
    <sheetView workbookViewId="0" topLeftCell="A1">
      <selection activeCell="E10" sqref="E10"/>
    </sheetView>
  </sheetViews>
  <sheetFormatPr defaultColWidth="9.00390625" defaultRowHeight="14.25"/>
  <cols>
    <col min="1" max="1" width="26.875" style="319" customWidth="1"/>
    <col min="2" max="2" width="14.125" style="319" customWidth="1"/>
    <col min="3" max="3" width="13.375" style="319" customWidth="1"/>
    <col min="4" max="4" width="16.875" style="319" customWidth="1"/>
    <col min="5" max="5" width="11.25390625" style="319" customWidth="1"/>
    <col min="6" max="6" width="11.625" style="319" customWidth="1"/>
    <col min="7" max="7" width="22.125" style="319" customWidth="1"/>
    <col min="8" max="8" width="13.00390625" style="319" customWidth="1"/>
    <col min="9" max="9" width="11.00390625" style="319" customWidth="1"/>
    <col min="10" max="16384" width="9.00390625" style="319" customWidth="1"/>
  </cols>
  <sheetData>
    <row r="1" spans="1:6" ht="14.25">
      <c r="A1" s="320" t="s">
        <v>373</v>
      </c>
      <c r="B1" s="321"/>
      <c r="C1" s="321"/>
      <c r="D1" s="321"/>
      <c r="E1" s="321"/>
      <c r="F1" s="321"/>
    </row>
    <row r="2" spans="1:7" ht="28.5" customHeight="1">
      <c r="A2" s="322" t="s">
        <v>374</v>
      </c>
      <c r="B2" s="322"/>
      <c r="C2" s="322"/>
      <c r="D2" s="322"/>
      <c r="E2" s="322"/>
      <c r="F2" s="322"/>
      <c r="G2" s="322"/>
    </row>
    <row r="3" spans="1:7" ht="23.25" customHeight="1">
      <c r="A3" s="323"/>
      <c r="B3" s="323"/>
      <c r="C3" s="323"/>
      <c r="D3" s="323"/>
      <c r="E3" s="323"/>
      <c r="F3" s="324"/>
      <c r="G3" s="324" t="s">
        <v>343</v>
      </c>
    </row>
    <row r="4" spans="1:7" ht="42" customHeight="1">
      <c r="A4" s="325" t="s">
        <v>160</v>
      </c>
      <c r="B4" s="326" t="s">
        <v>375</v>
      </c>
      <c r="C4" s="326" t="s">
        <v>8</v>
      </c>
      <c r="D4" s="327" t="s">
        <v>376</v>
      </c>
      <c r="E4" s="328" t="s">
        <v>377</v>
      </c>
      <c r="F4" s="328" t="s">
        <v>378</v>
      </c>
      <c r="G4" s="329" t="s">
        <v>379</v>
      </c>
    </row>
    <row r="5" spans="1:7" ht="30.75" customHeight="1">
      <c r="A5" s="330" t="s">
        <v>380</v>
      </c>
      <c r="B5" s="331">
        <f>SUM(B6:B8)</f>
        <v>195.84</v>
      </c>
      <c r="C5" s="331">
        <f>SUM(C6:C8)</f>
        <v>212.05</v>
      </c>
      <c r="D5" s="332">
        <f>SUM(D6:D8)</f>
        <v>100</v>
      </c>
      <c r="E5" s="333">
        <f aca="true" t="shared" si="0" ref="E5:E12">C5-B5</f>
        <v>16.210000000000008</v>
      </c>
      <c r="F5" s="334">
        <f aca="true" t="shared" si="1" ref="F5:F12">(C5/B5-1)*100</f>
        <v>8.277165032679745</v>
      </c>
      <c r="G5" s="335"/>
    </row>
    <row r="6" spans="1:7" ht="30.75" customHeight="1">
      <c r="A6" s="336" t="s">
        <v>381</v>
      </c>
      <c r="B6" s="337">
        <v>47.28</v>
      </c>
      <c r="C6" s="337">
        <v>64.56</v>
      </c>
      <c r="D6" s="338">
        <v>30.45</v>
      </c>
      <c r="E6" s="333">
        <f t="shared" si="0"/>
        <v>17.28</v>
      </c>
      <c r="F6" s="334">
        <f t="shared" si="1"/>
        <v>36.54822335025381</v>
      </c>
      <c r="G6" s="339"/>
    </row>
    <row r="7" spans="1:7" ht="30.75" customHeight="1">
      <c r="A7" s="336" t="s">
        <v>382</v>
      </c>
      <c r="B7" s="337">
        <v>1.16</v>
      </c>
      <c r="C7" s="337">
        <v>2.29</v>
      </c>
      <c r="D7" s="338">
        <v>1.08</v>
      </c>
      <c r="E7" s="333">
        <f t="shared" si="0"/>
        <v>1.1300000000000001</v>
      </c>
      <c r="F7" s="334">
        <f t="shared" si="1"/>
        <v>97.41379310344828</v>
      </c>
      <c r="G7" s="340"/>
    </row>
    <row r="8" spans="1:7" ht="30.75" customHeight="1">
      <c r="A8" s="336" t="s">
        <v>383</v>
      </c>
      <c r="B8" s="337">
        <v>147.4</v>
      </c>
      <c r="C8" s="337">
        <v>145.2</v>
      </c>
      <c r="D8" s="338">
        <v>68.47</v>
      </c>
      <c r="E8" s="333">
        <f t="shared" si="0"/>
        <v>-2.200000000000017</v>
      </c>
      <c r="F8" s="334">
        <f t="shared" si="1"/>
        <v>-1.4925373134328512</v>
      </c>
      <c r="G8" s="340" t="s">
        <v>384</v>
      </c>
    </row>
    <row r="9" spans="1:7" ht="30.75" customHeight="1">
      <c r="A9" s="341" t="s">
        <v>385</v>
      </c>
      <c r="B9" s="337">
        <v>53.58</v>
      </c>
      <c r="C9" s="337">
        <v>88.94</v>
      </c>
      <c r="D9" s="337"/>
      <c r="E9" s="333">
        <f t="shared" si="0"/>
        <v>35.36</v>
      </c>
      <c r="F9" s="334">
        <f t="shared" si="1"/>
        <v>65.99477416946623</v>
      </c>
      <c r="G9" s="339"/>
    </row>
    <row r="10" spans="1:7" ht="30.75" customHeight="1">
      <c r="A10" s="341" t="s">
        <v>386</v>
      </c>
      <c r="B10" s="342">
        <v>1.83</v>
      </c>
      <c r="C10" s="342">
        <v>2.28</v>
      </c>
      <c r="D10" s="337"/>
      <c r="E10" s="333">
        <f t="shared" si="0"/>
        <v>0.44999999999999973</v>
      </c>
      <c r="F10" s="334">
        <f t="shared" si="1"/>
        <v>24.59016393442621</v>
      </c>
      <c r="G10" s="339"/>
    </row>
    <row r="11" spans="1:7" s="318" customFormat="1" ht="30.75" customHeight="1">
      <c r="A11" s="341" t="s">
        <v>387</v>
      </c>
      <c r="B11" s="337">
        <v>3.72</v>
      </c>
      <c r="C11" s="337">
        <v>3.46</v>
      </c>
      <c r="D11" s="337"/>
      <c r="E11" s="333">
        <f t="shared" si="0"/>
        <v>-0.26000000000000023</v>
      </c>
      <c r="F11" s="334">
        <f t="shared" si="1"/>
        <v>-6.989247311827961</v>
      </c>
      <c r="G11" s="343" t="s">
        <v>388</v>
      </c>
    </row>
    <row r="12" spans="1:7" s="318" customFormat="1" ht="30.75" customHeight="1">
      <c r="A12" s="341" t="s">
        <v>389</v>
      </c>
      <c r="B12" s="342">
        <v>96.75</v>
      </c>
      <c r="C12" s="342">
        <v>102.39</v>
      </c>
      <c r="D12" s="337"/>
      <c r="E12" s="333">
        <f t="shared" si="0"/>
        <v>5.640000000000001</v>
      </c>
      <c r="F12" s="334">
        <f t="shared" si="1"/>
        <v>5.829457364341084</v>
      </c>
      <c r="G12" s="343" t="s">
        <v>390</v>
      </c>
    </row>
    <row r="13" spans="1:7" ht="29.25" customHeight="1">
      <c r="A13" s="344"/>
      <c r="B13" s="337"/>
      <c r="C13" s="342"/>
      <c r="D13" s="337"/>
      <c r="E13" s="345"/>
      <c r="F13" s="334"/>
      <c r="G13" s="346"/>
    </row>
    <row r="14" spans="1:7" ht="29.25" customHeight="1">
      <c r="A14" s="347"/>
      <c r="B14" s="348"/>
      <c r="C14" s="337"/>
      <c r="D14" s="337"/>
      <c r="E14" s="349"/>
      <c r="F14" s="350"/>
      <c r="G14" s="335"/>
    </row>
    <row r="15" spans="1:7" ht="29.25" customHeight="1">
      <c r="A15" s="351" t="s">
        <v>391</v>
      </c>
      <c r="B15" s="352">
        <f>B5+B9+B11+B12+B10</f>
        <v>351.71999999999997</v>
      </c>
      <c r="C15" s="352">
        <f>C5+C9+C11+C12+C10</f>
        <v>409.11999999999995</v>
      </c>
      <c r="D15" s="353"/>
      <c r="E15" s="352">
        <f>C15-B15</f>
        <v>57.39999999999998</v>
      </c>
      <c r="F15" s="354">
        <f>(C15/B15-1)*100</f>
        <v>16.319799840782444</v>
      </c>
      <c r="G15" s="355"/>
    </row>
    <row r="16" ht="18" customHeight="1">
      <c r="A16" s="323"/>
    </row>
  </sheetData>
  <sheetProtection/>
  <mergeCells count="1">
    <mergeCell ref="A2:G2"/>
  </mergeCells>
  <printOptions horizontalCentered="1" verticalCentered="1"/>
  <pageMargins left="0.59" right="0.59" top="0.75" bottom="0.9" header="0.51" footer="0.51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B598"/>
  <sheetViews>
    <sheetView view="pageBreakPreview" zoomScale="85" zoomScaleSheetLayoutView="85" workbookViewId="0" topLeftCell="A1">
      <selection activeCell="A551" sqref="A551"/>
    </sheetView>
  </sheetViews>
  <sheetFormatPr defaultColWidth="9.00390625" defaultRowHeight="14.25"/>
  <cols>
    <col min="1" max="1" width="49.875" style="25" customWidth="1"/>
    <col min="2" max="2" width="27.25390625" style="26" customWidth="1"/>
    <col min="3" max="16384" width="9.00390625" style="25" customWidth="1"/>
  </cols>
  <sheetData>
    <row r="1" ht="18" customHeight="1">
      <c r="A1" s="2" t="s">
        <v>392</v>
      </c>
    </row>
    <row r="2" spans="1:2" s="24" customFormat="1" ht="21">
      <c r="A2" s="4" t="s">
        <v>393</v>
      </c>
      <c r="B2" s="4"/>
    </row>
    <row r="3" ht="20.25" customHeight="1">
      <c r="B3" s="5" t="s">
        <v>3</v>
      </c>
    </row>
    <row r="4" spans="1:2" s="25" customFormat="1" ht="21.75" customHeight="1">
      <c r="A4" s="6" t="s">
        <v>394</v>
      </c>
      <c r="B4" s="302" t="s">
        <v>8</v>
      </c>
    </row>
    <row r="5" spans="1:2" s="25" customFormat="1" ht="16.5" customHeight="1">
      <c r="A5" s="303" t="s">
        <v>395</v>
      </c>
      <c r="B5" s="304">
        <v>38907</v>
      </c>
    </row>
    <row r="6" spans="1:2" s="25" customFormat="1" ht="16.5" customHeight="1">
      <c r="A6" s="49" t="s">
        <v>396</v>
      </c>
      <c r="B6" s="305">
        <v>1348</v>
      </c>
    </row>
    <row r="7" spans="1:2" s="25" customFormat="1" ht="16.5" customHeight="1">
      <c r="A7" s="49" t="s">
        <v>397</v>
      </c>
      <c r="B7" s="305">
        <v>1034</v>
      </c>
    </row>
    <row r="8" spans="1:2" s="25" customFormat="1" ht="16.5" customHeight="1">
      <c r="A8" s="49" t="s">
        <v>398</v>
      </c>
      <c r="B8" s="305">
        <v>78</v>
      </c>
    </row>
    <row r="9" spans="1:2" s="25" customFormat="1" ht="16.5" customHeight="1">
      <c r="A9" s="292" t="s">
        <v>399</v>
      </c>
      <c r="B9" s="305">
        <v>120</v>
      </c>
    </row>
    <row r="10" spans="1:2" s="25" customFormat="1" ht="16.5" customHeight="1">
      <c r="A10" s="51" t="s">
        <v>400</v>
      </c>
      <c r="B10" s="305">
        <v>20</v>
      </c>
    </row>
    <row r="11" spans="1:2" s="25" customFormat="1" ht="16.5" customHeight="1">
      <c r="A11" s="51" t="s">
        <v>401</v>
      </c>
      <c r="B11" s="305">
        <v>80</v>
      </c>
    </row>
    <row r="12" spans="1:2" s="25" customFormat="1" ht="16.5" customHeight="1">
      <c r="A12" s="49" t="s">
        <v>402</v>
      </c>
      <c r="B12" s="305">
        <v>16</v>
      </c>
    </row>
    <row r="13" spans="1:2" s="25" customFormat="1" ht="16.5" customHeight="1">
      <c r="A13" s="49" t="s">
        <v>403</v>
      </c>
      <c r="B13" s="305">
        <v>1178</v>
      </c>
    </row>
    <row r="14" spans="1:2" s="25" customFormat="1" ht="16.5" customHeight="1">
      <c r="A14" s="49" t="s">
        <v>397</v>
      </c>
      <c r="B14" s="305">
        <v>876</v>
      </c>
    </row>
    <row r="15" spans="1:2" s="25" customFormat="1" ht="16.5" customHeight="1">
      <c r="A15" s="292" t="s">
        <v>398</v>
      </c>
      <c r="B15" s="305">
        <v>92</v>
      </c>
    </row>
    <row r="16" spans="1:2" s="25" customFormat="1" ht="16.5" customHeight="1">
      <c r="A16" s="292" t="s">
        <v>404</v>
      </c>
      <c r="B16" s="305">
        <v>120</v>
      </c>
    </row>
    <row r="17" spans="1:2" s="25" customFormat="1" ht="16.5" customHeight="1">
      <c r="A17" s="292" t="s">
        <v>405</v>
      </c>
      <c r="B17" s="305">
        <v>90</v>
      </c>
    </row>
    <row r="18" spans="1:2" s="25" customFormat="1" ht="16.5" customHeight="1">
      <c r="A18" s="292" t="s">
        <v>406</v>
      </c>
      <c r="B18" s="305">
        <v>7826</v>
      </c>
    </row>
    <row r="19" spans="1:2" s="25" customFormat="1" ht="16.5" customHeight="1">
      <c r="A19" s="49" t="s">
        <v>397</v>
      </c>
      <c r="B19" s="305">
        <v>2984</v>
      </c>
    </row>
    <row r="20" spans="1:2" s="25" customFormat="1" ht="16.5" customHeight="1">
      <c r="A20" s="49" t="s">
        <v>398</v>
      </c>
      <c r="B20" s="305">
        <v>3118</v>
      </c>
    </row>
    <row r="21" spans="1:2" s="25" customFormat="1" ht="16.5" customHeight="1">
      <c r="A21" s="49" t="s">
        <v>407</v>
      </c>
      <c r="B21" s="305">
        <v>170</v>
      </c>
    </row>
    <row r="22" spans="1:2" s="25" customFormat="1" ht="16.5" customHeight="1">
      <c r="A22" s="49" t="s">
        <v>408</v>
      </c>
      <c r="B22" s="305">
        <v>87</v>
      </c>
    </row>
    <row r="23" spans="1:2" s="25" customFormat="1" ht="16.5" customHeight="1">
      <c r="A23" s="49" t="s">
        <v>409</v>
      </c>
      <c r="B23" s="305">
        <v>379</v>
      </c>
    </row>
    <row r="24" spans="1:2" s="25" customFormat="1" ht="16.5" customHeight="1">
      <c r="A24" s="49" t="s">
        <v>410</v>
      </c>
      <c r="B24" s="305">
        <v>916</v>
      </c>
    </row>
    <row r="25" spans="1:2" s="25" customFormat="1" ht="16.5" customHeight="1">
      <c r="A25" s="292" t="s">
        <v>411</v>
      </c>
      <c r="B25" s="305">
        <v>172</v>
      </c>
    </row>
    <row r="26" spans="1:2" s="25" customFormat="1" ht="16.5" customHeight="1">
      <c r="A26" s="292" t="s">
        <v>412</v>
      </c>
      <c r="B26" s="305">
        <v>1290</v>
      </c>
    </row>
    <row r="27" spans="1:2" s="25" customFormat="1" ht="16.5" customHeight="1">
      <c r="A27" s="49" t="s">
        <v>397</v>
      </c>
      <c r="B27" s="305">
        <v>523</v>
      </c>
    </row>
    <row r="28" spans="1:2" s="25" customFormat="1" ht="16.5" customHeight="1">
      <c r="A28" s="49" t="s">
        <v>398</v>
      </c>
      <c r="B28" s="305">
        <v>52</v>
      </c>
    </row>
    <row r="29" spans="1:2" s="25" customFormat="1" ht="16.5" customHeight="1">
      <c r="A29" s="49" t="s">
        <v>413</v>
      </c>
      <c r="B29" s="305">
        <v>672</v>
      </c>
    </row>
    <row r="30" spans="1:2" s="25" customFormat="1" ht="16.5" customHeight="1">
      <c r="A30" s="49" t="s">
        <v>414</v>
      </c>
      <c r="B30" s="305">
        <v>43</v>
      </c>
    </row>
    <row r="31" spans="1:2" s="25" customFormat="1" ht="16.5" customHeight="1">
      <c r="A31" s="292" t="s">
        <v>415</v>
      </c>
      <c r="B31" s="305">
        <v>1059</v>
      </c>
    </row>
    <row r="32" spans="1:2" s="25" customFormat="1" ht="16.5" customHeight="1">
      <c r="A32" s="292" t="s">
        <v>397</v>
      </c>
      <c r="B32" s="305">
        <v>502</v>
      </c>
    </row>
    <row r="33" spans="1:2" s="25" customFormat="1" ht="16.5" customHeight="1">
      <c r="A33" s="51" t="s">
        <v>398</v>
      </c>
      <c r="B33" s="305">
        <v>17</v>
      </c>
    </row>
    <row r="34" spans="1:2" s="25" customFormat="1" ht="16.5" customHeight="1">
      <c r="A34" s="49" t="s">
        <v>416</v>
      </c>
      <c r="B34" s="305">
        <v>380</v>
      </c>
    </row>
    <row r="35" spans="1:2" s="25" customFormat="1" ht="16.5" customHeight="1">
      <c r="A35" s="49" t="s">
        <v>417</v>
      </c>
      <c r="B35" s="305">
        <v>95</v>
      </c>
    </row>
    <row r="36" spans="1:2" s="25" customFormat="1" ht="16.5" customHeight="1">
      <c r="A36" s="292" t="s">
        <v>418</v>
      </c>
      <c r="B36" s="305">
        <v>20</v>
      </c>
    </row>
    <row r="37" spans="1:2" s="25" customFormat="1" ht="16.5" customHeight="1">
      <c r="A37" s="292" t="s">
        <v>419</v>
      </c>
      <c r="B37" s="305">
        <v>45</v>
      </c>
    </row>
    <row r="38" spans="1:2" s="25" customFormat="1" ht="16.5" customHeight="1">
      <c r="A38" s="292" t="s">
        <v>420</v>
      </c>
      <c r="B38" s="305">
        <v>3708</v>
      </c>
    </row>
    <row r="39" spans="1:2" s="25" customFormat="1" ht="16.5" customHeight="1">
      <c r="A39" s="49" t="s">
        <v>397</v>
      </c>
      <c r="B39" s="305">
        <v>805</v>
      </c>
    </row>
    <row r="40" spans="1:2" s="25" customFormat="1" ht="16.5" customHeight="1">
      <c r="A40" s="55" t="s">
        <v>398</v>
      </c>
      <c r="B40" s="306">
        <v>581</v>
      </c>
    </row>
    <row r="41" spans="1:2" s="25" customFormat="1" ht="16.5" customHeight="1">
      <c r="A41" s="307" t="s">
        <v>421</v>
      </c>
      <c r="B41" s="304">
        <v>43</v>
      </c>
    </row>
    <row r="42" spans="1:2" s="25" customFormat="1" ht="16.5" customHeight="1">
      <c r="A42" s="50" t="s">
        <v>422</v>
      </c>
      <c r="B42" s="305">
        <v>575</v>
      </c>
    </row>
    <row r="43" spans="1:2" s="25" customFormat="1" ht="16.5" customHeight="1">
      <c r="A43" s="50" t="s">
        <v>423</v>
      </c>
      <c r="B43" s="305">
        <v>249</v>
      </c>
    </row>
    <row r="44" spans="1:2" s="25" customFormat="1" ht="16.5" customHeight="1">
      <c r="A44" s="292" t="s">
        <v>410</v>
      </c>
      <c r="B44" s="305">
        <v>1170</v>
      </c>
    </row>
    <row r="45" spans="1:2" s="25" customFormat="1" ht="16.5" customHeight="1">
      <c r="A45" s="292" t="s">
        <v>424</v>
      </c>
      <c r="B45" s="305">
        <v>285</v>
      </c>
    </row>
    <row r="46" spans="1:2" s="25" customFormat="1" ht="16.5" customHeight="1">
      <c r="A46" s="49" t="s">
        <v>425</v>
      </c>
      <c r="B46" s="305">
        <v>3061</v>
      </c>
    </row>
    <row r="47" spans="1:2" s="25" customFormat="1" ht="16.5" customHeight="1">
      <c r="A47" s="49" t="s">
        <v>397</v>
      </c>
      <c r="B47" s="305">
        <v>1653</v>
      </c>
    </row>
    <row r="48" spans="1:2" s="25" customFormat="1" ht="16.5" customHeight="1">
      <c r="A48" s="49" t="s">
        <v>398</v>
      </c>
      <c r="B48" s="305">
        <v>431</v>
      </c>
    </row>
    <row r="49" spans="1:2" s="25" customFormat="1" ht="16.5" customHeight="1">
      <c r="A49" s="292" t="s">
        <v>426</v>
      </c>
      <c r="B49" s="305">
        <v>400</v>
      </c>
    </row>
    <row r="50" spans="1:2" s="25" customFormat="1" ht="16.5" customHeight="1">
      <c r="A50" s="51" t="s">
        <v>427</v>
      </c>
      <c r="B50" s="305">
        <v>320</v>
      </c>
    </row>
    <row r="51" spans="1:2" s="25" customFormat="1" ht="16.5" customHeight="1">
      <c r="A51" s="49" t="s">
        <v>428</v>
      </c>
      <c r="B51" s="305">
        <v>20</v>
      </c>
    </row>
    <row r="52" spans="1:2" s="25" customFormat="1" ht="16.5" customHeight="1">
      <c r="A52" s="49" t="s">
        <v>422</v>
      </c>
      <c r="B52" s="305">
        <v>60</v>
      </c>
    </row>
    <row r="53" spans="1:2" s="25" customFormat="1" ht="16.5" customHeight="1">
      <c r="A53" s="292" t="s">
        <v>429</v>
      </c>
      <c r="B53" s="305">
        <v>177</v>
      </c>
    </row>
    <row r="54" spans="1:2" s="25" customFormat="1" ht="16.5" customHeight="1">
      <c r="A54" s="292" t="s">
        <v>430</v>
      </c>
      <c r="B54" s="305">
        <v>692</v>
      </c>
    </row>
    <row r="55" spans="1:2" s="25" customFormat="1" ht="16.5" customHeight="1">
      <c r="A55" s="49" t="s">
        <v>397</v>
      </c>
      <c r="B55" s="305">
        <v>692</v>
      </c>
    </row>
    <row r="56" spans="1:2" s="25" customFormat="1" ht="16.5" customHeight="1">
      <c r="A56" s="49" t="s">
        <v>431</v>
      </c>
      <c r="B56" s="305">
        <v>177</v>
      </c>
    </row>
    <row r="57" spans="1:2" s="25" customFormat="1" ht="16.5" customHeight="1">
      <c r="A57" s="292" t="s">
        <v>432</v>
      </c>
      <c r="B57" s="305">
        <v>177</v>
      </c>
    </row>
    <row r="58" spans="1:2" s="25" customFormat="1" ht="16.5" customHeight="1">
      <c r="A58" s="292" t="s">
        <v>433</v>
      </c>
      <c r="B58" s="305">
        <v>49</v>
      </c>
    </row>
    <row r="59" spans="1:2" s="25" customFormat="1" ht="16.5" customHeight="1">
      <c r="A59" s="51" t="s">
        <v>434</v>
      </c>
      <c r="B59" s="305">
        <v>7</v>
      </c>
    </row>
    <row r="60" spans="1:2" s="25" customFormat="1" ht="16.5" customHeight="1">
      <c r="A60" s="49" t="s">
        <v>435</v>
      </c>
      <c r="B60" s="305">
        <v>42</v>
      </c>
    </row>
    <row r="61" spans="1:2" s="25" customFormat="1" ht="16.5" customHeight="1">
      <c r="A61" s="292" t="s">
        <v>436</v>
      </c>
      <c r="B61" s="305">
        <v>3788</v>
      </c>
    </row>
    <row r="62" spans="1:2" s="25" customFormat="1" ht="16.5" customHeight="1">
      <c r="A62" s="292" t="s">
        <v>397</v>
      </c>
      <c r="B62" s="305">
        <v>1700</v>
      </c>
    </row>
    <row r="63" spans="1:2" s="25" customFormat="1" ht="16.5" customHeight="1">
      <c r="A63" s="292" t="s">
        <v>398</v>
      </c>
      <c r="B63" s="305">
        <v>446</v>
      </c>
    </row>
    <row r="64" spans="1:2" s="25" customFormat="1" ht="16.5" customHeight="1">
      <c r="A64" s="51" t="s">
        <v>437</v>
      </c>
      <c r="B64" s="305">
        <v>303</v>
      </c>
    </row>
    <row r="65" spans="1:2" s="25" customFormat="1" ht="16.5" customHeight="1">
      <c r="A65" s="49" t="s">
        <v>438</v>
      </c>
      <c r="B65" s="305">
        <v>122</v>
      </c>
    </row>
    <row r="66" spans="1:2" s="25" customFormat="1" ht="16.5" customHeight="1">
      <c r="A66" s="292" t="s">
        <v>439</v>
      </c>
      <c r="B66" s="305">
        <v>1217</v>
      </c>
    </row>
    <row r="67" spans="1:2" s="25" customFormat="1" ht="16.5" customHeight="1">
      <c r="A67" s="292" t="s">
        <v>440</v>
      </c>
      <c r="B67" s="305">
        <v>1381</v>
      </c>
    </row>
    <row r="68" spans="1:2" s="25" customFormat="1" ht="16.5" customHeight="1">
      <c r="A68" s="292" t="s">
        <v>397</v>
      </c>
      <c r="B68" s="305">
        <v>865</v>
      </c>
    </row>
    <row r="69" spans="1:2" s="25" customFormat="1" ht="16.5" customHeight="1">
      <c r="A69" s="51" t="s">
        <v>398</v>
      </c>
      <c r="B69" s="305">
        <v>171</v>
      </c>
    </row>
    <row r="70" spans="1:2" s="25" customFormat="1" ht="16.5" customHeight="1">
      <c r="A70" s="49" t="s">
        <v>441</v>
      </c>
      <c r="B70" s="305">
        <v>220</v>
      </c>
    </row>
    <row r="71" spans="1:2" s="25" customFormat="1" ht="16.5" customHeight="1">
      <c r="A71" s="49" t="s">
        <v>410</v>
      </c>
      <c r="B71" s="305">
        <v>125</v>
      </c>
    </row>
    <row r="72" spans="1:2" s="25" customFormat="1" ht="16.5" customHeight="1">
      <c r="A72" s="49" t="s">
        <v>442</v>
      </c>
      <c r="B72" s="305">
        <v>188</v>
      </c>
    </row>
    <row r="73" spans="1:2" s="25" customFormat="1" ht="16.5" customHeight="1">
      <c r="A73" s="292" t="s">
        <v>398</v>
      </c>
      <c r="B73" s="305">
        <v>159</v>
      </c>
    </row>
    <row r="74" spans="1:2" s="25" customFormat="1" ht="16.5" customHeight="1">
      <c r="A74" s="292" t="s">
        <v>443</v>
      </c>
      <c r="B74" s="305">
        <v>10</v>
      </c>
    </row>
    <row r="75" spans="1:2" s="25" customFormat="1" ht="16.5" customHeight="1">
      <c r="A75" s="292" t="s">
        <v>444</v>
      </c>
      <c r="B75" s="305">
        <v>6</v>
      </c>
    </row>
    <row r="76" spans="1:2" s="25" customFormat="1" ht="16.5" customHeight="1">
      <c r="A76" s="49" t="s">
        <v>445</v>
      </c>
      <c r="B76" s="305">
        <v>6</v>
      </c>
    </row>
    <row r="77" spans="1:2" s="25" customFormat="1" ht="16.5" customHeight="1">
      <c r="A77" s="308" t="s">
        <v>446</v>
      </c>
      <c r="B77" s="306">
        <v>7</v>
      </c>
    </row>
    <row r="78" spans="1:2" s="25" customFormat="1" ht="16.5" customHeight="1">
      <c r="A78" s="292" t="s">
        <v>447</v>
      </c>
      <c r="B78" s="305">
        <v>1404</v>
      </c>
    </row>
    <row r="79" spans="1:2" s="25" customFormat="1" ht="16.5" customHeight="1">
      <c r="A79" s="309" t="s">
        <v>397</v>
      </c>
      <c r="B79" s="310">
        <v>1085</v>
      </c>
    </row>
    <row r="80" spans="1:2" s="25" customFormat="1" ht="16.5" customHeight="1">
      <c r="A80" s="311" t="s">
        <v>398</v>
      </c>
      <c r="B80" s="304">
        <v>263</v>
      </c>
    </row>
    <row r="81" spans="1:2" s="25" customFormat="1" ht="16.5" customHeight="1">
      <c r="A81" s="49" t="s">
        <v>448</v>
      </c>
      <c r="B81" s="305">
        <v>20</v>
      </c>
    </row>
    <row r="82" spans="1:2" s="25" customFormat="1" ht="16.5" customHeight="1">
      <c r="A82" s="49" t="s">
        <v>410</v>
      </c>
      <c r="B82" s="305">
        <v>17</v>
      </c>
    </row>
    <row r="83" spans="1:2" s="25" customFormat="1" ht="16.5" customHeight="1">
      <c r="A83" s="292" t="s">
        <v>449</v>
      </c>
      <c r="B83" s="305">
        <v>19</v>
      </c>
    </row>
    <row r="84" spans="1:2" s="25" customFormat="1" ht="16.5" customHeight="1">
      <c r="A84" s="49" t="s">
        <v>450</v>
      </c>
      <c r="B84" s="305">
        <v>2751</v>
      </c>
    </row>
    <row r="85" spans="1:2" s="25" customFormat="1" ht="16.5" customHeight="1">
      <c r="A85" s="49" t="s">
        <v>397</v>
      </c>
      <c r="B85" s="305">
        <v>323</v>
      </c>
    </row>
    <row r="86" spans="1:2" s="25" customFormat="1" ht="16.5" customHeight="1">
      <c r="A86" s="49" t="s">
        <v>398</v>
      </c>
      <c r="B86" s="305">
        <v>103</v>
      </c>
    </row>
    <row r="87" spans="1:2" s="25" customFormat="1" ht="16.5" customHeight="1">
      <c r="A87" s="292" t="s">
        <v>451</v>
      </c>
      <c r="B87" s="305">
        <v>454</v>
      </c>
    </row>
    <row r="88" spans="1:2" s="25" customFormat="1" ht="16.5" customHeight="1">
      <c r="A88" s="292" t="s">
        <v>452</v>
      </c>
      <c r="B88" s="305">
        <v>18</v>
      </c>
    </row>
    <row r="89" spans="1:2" s="25" customFormat="1" ht="16.5" customHeight="1">
      <c r="A89" s="292" t="s">
        <v>410</v>
      </c>
      <c r="B89" s="305">
        <v>1667</v>
      </c>
    </row>
    <row r="90" spans="1:2" s="25" customFormat="1" ht="16.5" customHeight="1">
      <c r="A90" s="49" t="s">
        <v>453</v>
      </c>
      <c r="B90" s="305">
        <v>186</v>
      </c>
    </row>
    <row r="91" spans="1:2" s="25" customFormat="1" ht="16.5" customHeight="1">
      <c r="A91" s="49" t="s">
        <v>454</v>
      </c>
      <c r="B91" s="305">
        <v>137</v>
      </c>
    </row>
    <row r="92" spans="1:2" s="25" customFormat="1" ht="16.5" customHeight="1">
      <c r="A92" s="49" t="s">
        <v>397</v>
      </c>
      <c r="B92" s="305">
        <v>106</v>
      </c>
    </row>
    <row r="93" spans="1:2" s="25" customFormat="1" ht="16.5" customHeight="1">
      <c r="A93" s="292" t="s">
        <v>398</v>
      </c>
      <c r="B93" s="305">
        <v>31</v>
      </c>
    </row>
    <row r="94" spans="1:2" s="25" customFormat="1" ht="16.5" customHeight="1">
      <c r="A94" s="51" t="s">
        <v>455</v>
      </c>
      <c r="B94" s="305">
        <v>296</v>
      </c>
    </row>
    <row r="95" spans="1:2" s="25" customFormat="1" ht="16.5" customHeight="1">
      <c r="A95" s="49" t="s">
        <v>397</v>
      </c>
      <c r="B95" s="305">
        <v>210</v>
      </c>
    </row>
    <row r="96" spans="1:2" s="25" customFormat="1" ht="16.5" customHeight="1">
      <c r="A96" s="49" t="s">
        <v>456</v>
      </c>
      <c r="B96" s="305">
        <v>60</v>
      </c>
    </row>
    <row r="97" spans="1:2" s="25" customFormat="1" ht="16.5" customHeight="1">
      <c r="A97" s="292" t="s">
        <v>457</v>
      </c>
      <c r="B97" s="305">
        <v>26</v>
      </c>
    </row>
    <row r="98" spans="1:2" s="25" customFormat="1" ht="16.5" customHeight="1">
      <c r="A98" s="49" t="s">
        <v>458</v>
      </c>
      <c r="B98" s="305">
        <v>312</v>
      </c>
    </row>
    <row r="99" spans="1:2" s="25" customFormat="1" ht="16.5" customHeight="1">
      <c r="A99" s="49" t="s">
        <v>397</v>
      </c>
      <c r="B99" s="305">
        <v>194</v>
      </c>
    </row>
    <row r="100" spans="1:2" s="25" customFormat="1" ht="16.5" customHeight="1">
      <c r="A100" s="292" t="s">
        <v>459</v>
      </c>
      <c r="B100" s="305">
        <v>118</v>
      </c>
    </row>
    <row r="101" spans="1:2" s="25" customFormat="1" ht="16.5" customHeight="1">
      <c r="A101" s="51" t="s">
        <v>460</v>
      </c>
      <c r="B101" s="305">
        <v>518</v>
      </c>
    </row>
    <row r="102" spans="1:2" s="25" customFormat="1" ht="16.5" customHeight="1">
      <c r="A102" s="292" t="s">
        <v>397</v>
      </c>
      <c r="B102" s="305">
        <v>367</v>
      </c>
    </row>
    <row r="103" spans="1:2" s="25" customFormat="1" ht="16.5" customHeight="1">
      <c r="A103" s="292" t="s">
        <v>398</v>
      </c>
      <c r="B103" s="305">
        <v>151</v>
      </c>
    </row>
    <row r="104" spans="1:2" s="25" customFormat="1" ht="16.5" customHeight="1">
      <c r="A104" s="49" t="s">
        <v>461</v>
      </c>
      <c r="B104" s="305">
        <v>544</v>
      </c>
    </row>
    <row r="105" spans="1:2" s="25" customFormat="1" ht="16.5" customHeight="1">
      <c r="A105" s="292" t="s">
        <v>397</v>
      </c>
      <c r="B105" s="305">
        <v>289</v>
      </c>
    </row>
    <row r="106" spans="1:2" s="25" customFormat="1" ht="16.5" customHeight="1">
      <c r="A106" s="292" t="s">
        <v>398</v>
      </c>
      <c r="B106" s="305">
        <v>176</v>
      </c>
    </row>
    <row r="107" spans="1:2" s="25" customFormat="1" ht="16.5" customHeight="1">
      <c r="A107" s="292" t="s">
        <v>462</v>
      </c>
      <c r="B107" s="305">
        <v>5</v>
      </c>
    </row>
    <row r="108" spans="1:2" s="25" customFormat="1" ht="16.5" customHeight="1">
      <c r="A108" s="292" t="s">
        <v>410</v>
      </c>
      <c r="B108" s="305">
        <v>31</v>
      </c>
    </row>
    <row r="109" spans="1:2" s="25" customFormat="1" ht="16.5" customHeight="1">
      <c r="A109" s="292" t="s">
        <v>463</v>
      </c>
      <c r="B109" s="305">
        <v>43</v>
      </c>
    </row>
    <row r="110" spans="1:2" s="25" customFormat="1" ht="16.5" customHeight="1">
      <c r="A110" s="292" t="s">
        <v>464</v>
      </c>
      <c r="B110" s="305">
        <v>3676</v>
      </c>
    </row>
    <row r="111" spans="1:2" s="25" customFormat="1" ht="16.5" customHeight="1">
      <c r="A111" s="49" t="s">
        <v>397</v>
      </c>
      <c r="B111" s="305">
        <v>2043</v>
      </c>
    </row>
    <row r="112" spans="1:2" s="25" customFormat="1" ht="16.5" customHeight="1">
      <c r="A112" s="292" t="s">
        <v>398</v>
      </c>
      <c r="B112" s="305">
        <v>1422</v>
      </c>
    </row>
    <row r="113" spans="1:2" s="25" customFormat="1" ht="16.5" customHeight="1">
      <c r="A113" s="292" t="s">
        <v>443</v>
      </c>
      <c r="B113" s="305">
        <v>2</v>
      </c>
    </row>
    <row r="114" spans="1:2" s="25" customFormat="1" ht="16.5" customHeight="1">
      <c r="A114" s="308" t="s">
        <v>465</v>
      </c>
      <c r="B114" s="306">
        <v>144</v>
      </c>
    </row>
    <row r="115" spans="1:2" s="25" customFormat="1" ht="16.5" customHeight="1">
      <c r="A115" s="292" t="s">
        <v>466</v>
      </c>
      <c r="B115" s="305">
        <v>65</v>
      </c>
    </row>
    <row r="116" spans="1:2" s="25" customFormat="1" ht="16.5" customHeight="1">
      <c r="A116" s="49" t="s">
        <v>467</v>
      </c>
      <c r="B116" s="305">
        <v>1067</v>
      </c>
    </row>
    <row r="117" spans="1:2" s="25" customFormat="1" ht="16.5" customHeight="1">
      <c r="A117" s="292" t="s">
        <v>397</v>
      </c>
      <c r="B117" s="305">
        <v>594</v>
      </c>
    </row>
    <row r="118" spans="1:2" s="25" customFormat="1" ht="16.5" customHeight="1">
      <c r="A118" s="309" t="s">
        <v>398</v>
      </c>
      <c r="B118" s="310">
        <v>410</v>
      </c>
    </row>
    <row r="119" spans="1:2" s="25" customFormat="1" ht="16.5" customHeight="1">
      <c r="A119" s="307" t="s">
        <v>468</v>
      </c>
      <c r="B119" s="304">
        <v>63</v>
      </c>
    </row>
    <row r="120" spans="1:2" s="25" customFormat="1" ht="16.5" customHeight="1">
      <c r="A120" s="292" t="s">
        <v>469</v>
      </c>
      <c r="B120" s="305">
        <v>1022</v>
      </c>
    </row>
    <row r="121" spans="1:2" s="25" customFormat="1" ht="16.5" customHeight="1">
      <c r="A121" s="292" t="s">
        <v>397</v>
      </c>
      <c r="B121" s="305">
        <v>790</v>
      </c>
    </row>
    <row r="122" spans="1:2" s="25" customFormat="1" ht="16.5" customHeight="1">
      <c r="A122" s="49" t="s">
        <v>410</v>
      </c>
      <c r="B122" s="305">
        <v>94</v>
      </c>
    </row>
    <row r="123" spans="1:2" s="25" customFormat="1" ht="16.5" customHeight="1">
      <c r="A123" s="49" t="s">
        <v>470</v>
      </c>
      <c r="B123" s="305">
        <v>138</v>
      </c>
    </row>
    <row r="124" spans="1:2" s="25" customFormat="1" ht="16.5" customHeight="1">
      <c r="A124" s="292" t="s">
        <v>471</v>
      </c>
      <c r="B124" s="305">
        <v>260</v>
      </c>
    </row>
    <row r="125" spans="1:2" s="25" customFormat="1" ht="16.5" customHeight="1">
      <c r="A125" s="292" t="s">
        <v>397</v>
      </c>
      <c r="B125" s="305">
        <v>214</v>
      </c>
    </row>
    <row r="126" spans="1:2" s="25" customFormat="1" ht="16.5" customHeight="1">
      <c r="A126" s="49" t="s">
        <v>398</v>
      </c>
      <c r="B126" s="305">
        <v>46</v>
      </c>
    </row>
    <row r="127" spans="1:2" s="25" customFormat="1" ht="16.5" customHeight="1">
      <c r="A127" s="292" t="s">
        <v>472</v>
      </c>
      <c r="B127" s="305">
        <v>1175</v>
      </c>
    </row>
    <row r="128" spans="1:2" s="25" customFormat="1" ht="16.5" customHeight="1">
      <c r="A128" s="292" t="s">
        <v>397</v>
      </c>
      <c r="B128" s="305">
        <v>281</v>
      </c>
    </row>
    <row r="129" spans="1:2" s="25" customFormat="1" ht="16.5" customHeight="1">
      <c r="A129" s="49" t="s">
        <v>398</v>
      </c>
      <c r="B129" s="305">
        <v>263</v>
      </c>
    </row>
    <row r="130" spans="1:2" s="25" customFormat="1" ht="16.5" customHeight="1">
      <c r="A130" s="49" t="s">
        <v>410</v>
      </c>
      <c r="B130" s="305">
        <v>398</v>
      </c>
    </row>
    <row r="131" spans="1:2" s="25" customFormat="1" ht="16.5" customHeight="1">
      <c r="A131" s="292" t="s">
        <v>473</v>
      </c>
      <c r="B131" s="305">
        <v>233</v>
      </c>
    </row>
    <row r="132" spans="1:2" s="25" customFormat="1" ht="16.5" customHeight="1">
      <c r="A132" s="292" t="s">
        <v>474</v>
      </c>
      <c r="B132" s="305">
        <v>1026</v>
      </c>
    </row>
    <row r="133" spans="1:2" s="25" customFormat="1" ht="16.5" customHeight="1">
      <c r="A133" s="51" t="s">
        <v>475</v>
      </c>
      <c r="B133" s="305">
        <v>801</v>
      </c>
    </row>
    <row r="134" spans="1:2" s="25" customFormat="1" ht="16.5" customHeight="1">
      <c r="A134" s="292" t="s">
        <v>476</v>
      </c>
      <c r="B134" s="305">
        <v>60</v>
      </c>
    </row>
    <row r="135" spans="1:2" s="25" customFormat="1" ht="16.5" customHeight="1">
      <c r="A135" s="49" t="s">
        <v>477</v>
      </c>
      <c r="B135" s="305">
        <v>241</v>
      </c>
    </row>
    <row r="136" spans="1:2" s="25" customFormat="1" ht="16.5" customHeight="1">
      <c r="A136" s="292" t="s">
        <v>478</v>
      </c>
      <c r="B136" s="305">
        <v>30</v>
      </c>
    </row>
    <row r="137" spans="1:2" s="25" customFormat="1" ht="16.5" customHeight="1">
      <c r="A137" s="51" t="s">
        <v>479</v>
      </c>
      <c r="B137" s="305">
        <v>20</v>
      </c>
    </row>
    <row r="138" spans="1:2" s="25" customFormat="1" ht="16.5" customHeight="1">
      <c r="A138" s="49" t="s">
        <v>480</v>
      </c>
      <c r="B138" s="305">
        <v>80</v>
      </c>
    </row>
    <row r="139" spans="1:2" s="25" customFormat="1" ht="16.5" customHeight="1">
      <c r="A139" s="49" t="s">
        <v>481</v>
      </c>
      <c r="B139" s="305">
        <v>370</v>
      </c>
    </row>
    <row r="140" spans="1:2" s="25" customFormat="1" ht="16.5" customHeight="1">
      <c r="A140" s="292" t="s">
        <v>482</v>
      </c>
      <c r="B140" s="305">
        <v>225</v>
      </c>
    </row>
    <row r="141" spans="1:2" s="25" customFormat="1" ht="16.5" customHeight="1">
      <c r="A141" s="292" t="s">
        <v>483</v>
      </c>
      <c r="B141" s="305">
        <v>225</v>
      </c>
    </row>
    <row r="142" spans="1:2" s="25" customFormat="1" ht="16.5" customHeight="1">
      <c r="A142" s="292" t="s">
        <v>484</v>
      </c>
      <c r="B142" s="305">
        <f>75756-846</f>
        <v>74910</v>
      </c>
    </row>
    <row r="143" spans="1:2" s="25" customFormat="1" ht="16.5" customHeight="1">
      <c r="A143" s="51" t="s">
        <v>485</v>
      </c>
      <c r="B143" s="305">
        <v>4904</v>
      </c>
    </row>
    <row r="144" spans="1:2" s="25" customFormat="1" ht="16.5" customHeight="1">
      <c r="A144" s="49" t="s">
        <v>486</v>
      </c>
      <c r="B144" s="305">
        <f>1155-736</f>
        <v>419</v>
      </c>
    </row>
    <row r="145" spans="1:2" s="25" customFormat="1" ht="16.5" customHeight="1">
      <c r="A145" s="49" t="s">
        <v>487</v>
      </c>
      <c r="B145" s="305">
        <f>4595-110</f>
        <v>4485</v>
      </c>
    </row>
    <row r="146" spans="1:2" s="25" customFormat="1" ht="16.5" customHeight="1">
      <c r="A146" s="292" t="s">
        <v>488</v>
      </c>
      <c r="B146" s="305">
        <v>51860</v>
      </c>
    </row>
    <row r="147" spans="1:2" s="25" customFormat="1" ht="16.5" customHeight="1">
      <c r="A147" s="292" t="s">
        <v>397</v>
      </c>
      <c r="B147" s="305">
        <v>33160</v>
      </c>
    </row>
    <row r="148" spans="1:2" s="25" customFormat="1" ht="16.5" customHeight="1">
      <c r="A148" s="292" t="s">
        <v>398</v>
      </c>
      <c r="B148" s="305">
        <v>676</v>
      </c>
    </row>
    <row r="149" spans="1:2" s="25" customFormat="1" ht="16.5" customHeight="1">
      <c r="A149" s="49" t="s">
        <v>489</v>
      </c>
      <c r="B149" s="305">
        <v>46</v>
      </c>
    </row>
    <row r="150" spans="1:2" s="25" customFormat="1" ht="16.5" customHeight="1">
      <c r="A150" s="49" t="s">
        <v>490</v>
      </c>
      <c r="B150" s="305">
        <v>30</v>
      </c>
    </row>
    <row r="151" spans="1:2" s="25" customFormat="1" ht="16.5" customHeight="1">
      <c r="A151" s="308" t="s">
        <v>491</v>
      </c>
      <c r="B151" s="306">
        <v>194</v>
      </c>
    </row>
    <row r="152" spans="1:2" s="25" customFormat="1" ht="16.5" customHeight="1">
      <c r="A152" s="292" t="s">
        <v>492</v>
      </c>
      <c r="B152" s="305">
        <v>30</v>
      </c>
    </row>
    <row r="153" spans="1:2" s="25" customFormat="1" ht="16.5" customHeight="1">
      <c r="A153" s="292" t="s">
        <v>493</v>
      </c>
      <c r="B153" s="305">
        <v>90</v>
      </c>
    </row>
    <row r="154" spans="1:2" s="25" customFormat="1" ht="16.5" customHeight="1">
      <c r="A154" s="51" t="s">
        <v>494</v>
      </c>
      <c r="B154" s="305">
        <v>20</v>
      </c>
    </row>
    <row r="155" spans="1:2" s="25" customFormat="1" ht="16.5" customHeight="1">
      <c r="A155" s="49" t="s">
        <v>495</v>
      </c>
      <c r="B155" s="305">
        <v>100</v>
      </c>
    </row>
    <row r="156" spans="1:2" s="25" customFormat="1" ht="16.5" customHeight="1">
      <c r="A156" s="49" t="s">
        <v>496</v>
      </c>
      <c r="B156" s="305">
        <v>12796</v>
      </c>
    </row>
    <row r="157" spans="1:2" s="25" customFormat="1" ht="16.5" customHeight="1">
      <c r="A157" s="312" t="s">
        <v>497</v>
      </c>
      <c r="B157" s="310">
        <v>20</v>
      </c>
    </row>
    <row r="158" spans="1:2" s="25" customFormat="1" ht="16.5" customHeight="1">
      <c r="A158" s="307" t="s">
        <v>498</v>
      </c>
      <c r="B158" s="304">
        <v>10</v>
      </c>
    </row>
    <row r="159" spans="1:2" s="25" customFormat="1" ht="16.5" customHeight="1">
      <c r="A159" s="292" t="s">
        <v>499</v>
      </c>
      <c r="B159" s="305">
        <v>20</v>
      </c>
    </row>
    <row r="160" spans="1:2" s="25" customFormat="1" ht="16.5" customHeight="1">
      <c r="A160" s="292" t="s">
        <v>500</v>
      </c>
      <c r="B160" s="305">
        <v>400</v>
      </c>
    </row>
    <row r="161" spans="1:2" s="25" customFormat="1" ht="16.5" customHeight="1">
      <c r="A161" s="49" t="s">
        <v>501</v>
      </c>
      <c r="B161" s="305">
        <v>195</v>
      </c>
    </row>
    <row r="162" spans="1:2" s="25" customFormat="1" ht="16.5" customHeight="1">
      <c r="A162" s="49" t="s">
        <v>422</v>
      </c>
      <c r="B162" s="305">
        <v>1000</v>
      </c>
    </row>
    <row r="163" spans="1:2" s="25" customFormat="1" ht="16.5" customHeight="1">
      <c r="A163" s="49" t="s">
        <v>410</v>
      </c>
      <c r="B163" s="305">
        <v>690</v>
      </c>
    </row>
    <row r="164" spans="1:2" s="25" customFormat="1" ht="16.5" customHeight="1">
      <c r="A164" s="49" t="s">
        <v>502</v>
      </c>
      <c r="B164" s="305">
        <v>2383</v>
      </c>
    </row>
    <row r="165" spans="1:2" s="25" customFormat="1" ht="16.5" customHeight="1">
      <c r="A165" s="49" t="s">
        <v>503</v>
      </c>
      <c r="B165" s="305">
        <v>10</v>
      </c>
    </row>
    <row r="166" spans="1:2" s="25" customFormat="1" ht="16.5" customHeight="1">
      <c r="A166" s="292" t="s">
        <v>398</v>
      </c>
      <c r="B166" s="305">
        <v>10</v>
      </c>
    </row>
    <row r="167" spans="1:2" s="25" customFormat="1" ht="16.5" customHeight="1">
      <c r="A167" s="292" t="s">
        <v>504</v>
      </c>
      <c r="B167" s="305">
        <v>3866</v>
      </c>
    </row>
    <row r="168" spans="1:2" s="25" customFormat="1" ht="16.5" customHeight="1">
      <c r="A168" s="49" t="s">
        <v>397</v>
      </c>
      <c r="B168" s="305">
        <v>2424</v>
      </c>
    </row>
    <row r="169" spans="1:2" s="25" customFormat="1" ht="16.5" customHeight="1">
      <c r="A169" s="49" t="s">
        <v>398</v>
      </c>
      <c r="B169" s="305">
        <v>1352</v>
      </c>
    </row>
    <row r="170" spans="1:2" s="25" customFormat="1" ht="16.5" customHeight="1">
      <c r="A170" s="49" t="s">
        <v>505</v>
      </c>
      <c r="B170" s="305">
        <v>40</v>
      </c>
    </row>
    <row r="171" spans="1:2" s="25" customFormat="1" ht="16.5" customHeight="1">
      <c r="A171" s="292" t="s">
        <v>506</v>
      </c>
      <c r="B171" s="305">
        <v>20</v>
      </c>
    </row>
    <row r="172" spans="1:2" s="25" customFormat="1" ht="16.5" customHeight="1">
      <c r="A172" s="51" t="s">
        <v>507</v>
      </c>
      <c r="B172" s="305">
        <v>10</v>
      </c>
    </row>
    <row r="173" spans="1:2" s="25" customFormat="1" ht="16.5" customHeight="1">
      <c r="A173" s="49" t="s">
        <v>508</v>
      </c>
      <c r="B173" s="305">
        <v>10</v>
      </c>
    </row>
    <row r="174" spans="1:2" s="25" customFormat="1" ht="16.5" customHeight="1">
      <c r="A174" s="49" t="s">
        <v>509</v>
      </c>
      <c r="B174" s="305">
        <v>10</v>
      </c>
    </row>
    <row r="175" spans="1:2" s="25" customFormat="1" ht="16.5" customHeight="1">
      <c r="A175" s="292" t="s">
        <v>510</v>
      </c>
      <c r="B175" s="305">
        <v>4627</v>
      </c>
    </row>
    <row r="176" spans="1:2" s="25" customFormat="1" ht="16.5" customHeight="1">
      <c r="A176" s="292" t="s">
        <v>397</v>
      </c>
      <c r="B176" s="305">
        <v>2838</v>
      </c>
    </row>
    <row r="177" spans="1:2" s="25" customFormat="1" ht="16.5" customHeight="1">
      <c r="A177" s="49" t="s">
        <v>398</v>
      </c>
      <c r="B177" s="305">
        <v>268</v>
      </c>
    </row>
    <row r="178" spans="1:2" s="25" customFormat="1" ht="16.5" customHeight="1">
      <c r="A178" s="49" t="s">
        <v>511</v>
      </c>
      <c r="B178" s="305">
        <v>202</v>
      </c>
    </row>
    <row r="179" spans="1:2" s="25" customFormat="1" ht="16.5" customHeight="1">
      <c r="A179" s="292" t="s">
        <v>512</v>
      </c>
      <c r="B179" s="305">
        <v>150</v>
      </c>
    </row>
    <row r="180" spans="1:2" s="25" customFormat="1" ht="16.5" customHeight="1">
      <c r="A180" s="292" t="s">
        <v>513</v>
      </c>
      <c r="B180" s="305">
        <v>56</v>
      </c>
    </row>
    <row r="181" spans="1:2" s="25" customFormat="1" ht="16.5" customHeight="1">
      <c r="A181" s="51" t="s">
        <v>514</v>
      </c>
      <c r="B181" s="305">
        <v>1113</v>
      </c>
    </row>
    <row r="182" spans="1:2" s="25" customFormat="1" ht="16.5" customHeight="1">
      <c r="A182" s="49" t="s">
        <v>515</v>
      </c>
      <c r="B182" s="305">
        <v>1408</v>
      </c>
    </row>
    <row r="183" spans="1:2" s="25" customFormat="1" ht="16.5" customHeight="1">
      <c r="A183" s="49" t="s">
        <v>397</v>
      </c>
      <c r="B183" s="305">
        <v>724</v>
      </c>
    </row>
    <row r="184" spans="1:2" s="25" customFormat="1" ht="16.5" customHeight="1">
      <c r="A184" s="49" t="s">
        <v>398</v>
      </c>
      <c r="B184" s="305">
        <v>238</v>
      </c>
    </row>
    <row r="185" spans="1:2" s="25" customFormat="1" ht="16.5" customHeight="1">
      <c r="A185" s="292" t="s">
        <v>516</v>
      </c>
      <c r="B185" s="305">
        <v>50</v>
      </c>
    </row>
    <row r="186" spans="1:2" s="25" customFormat="1" ht="16.5" customHeight="1">
      <c r="A186" s="292" t="s">
        <v>517</v>
      </c>
      <c r="B186" s="305">
        <v>50</v>
      </c>
    </row>
    <row r="187" spans="1:2" s="25" customFormat="1" ht="16.5" customHeight="1">
      <c r="A187" s="49" t="s">
        <v>518</v>
      </c>
      <c r="B187" s="305">
        <v>10</v>
      </c>
    </row>
    <row r="188" spans="1:2" s="25" customFormat="1" ht="16.5" customHeight="1">
      <c r="A188" s="55" t="s">
        <v>519</v>
      </c>
      <c r="B188" s="306">
        <v>60</v>
      </c>
    </row>
    <row r="189" spans="1:2" s="25" customFormat="1" ht="16.5" customHeight="1">
      <c r="A189" s="49" t="s">
        <v>520</v>
      </c>
      <c r="B189" s="305">
        <v>13</v>
      </c>
    </row>
    <row r="190" spans="1:2" s="25" customFormat="1" ht="16.5" customHeight="1">
      <c r="A190" s="292" t="s">
        <v>521</v>
      </c>
      <c r="B190" s="305">
        <v>79</v>
      </c>
    </row>
    <row r="191" spans="1:2" s="25" customFormat="1" ht="16.5" customHeight="1">
      <c r="A191" s="292" t="s">
        <v>522</v>
      </c>
      <c r="B191" s="305">
        <v>12</v>
      </c>
    </row>
    <row r="192" spans="1:2" s="25" customFormat="1" ht="16.5" customHeight="1">
      <c r="A192" s="292" t="s">
        <v>410</v>
      </c>
      <c r="B192" s="305">
        <v>164</v>
      </c>
    </row>
    <row r="193" spans="1:2" s="25" customFormat="1" ht="16.5" customHeight="1">
      <c r="A193" s="49" t="s">
        <v>523</v>
      </c>
      <c r="B193" s="305">
        <v>8</v>
      </c>
    </row>
    <row r="194" spans="1:2" s="25" customFormat="1" ht="16.5" customHeight="1">
      <c r="A194" s="49" t="s">
        <v>524</v>
      </c>
      <c r="B194" s="305">
        <v>6228</v>
      </c>
    </row>
    <row r="195" spans="1:2" s="25" customFormat="1" ht="16.5" customHeight="1">
      <c r="A195" s="292" t="s">
        <v>397</v>
      </c>
      <c r="B195" s="305">
        <v>5085</v>
      </c>
    </row>
    <row r="196" spans="1:2" s="25" customFormat="1" ht="16.5" customHeight="1">
      <c r="A196" s="309" t="s">
        <v>398</v>
      </c>
      <c r="B196" s="310">
        <v>900</v>
      </c>
    </row>
    <row r="197" spans="1:2" s="25" customFormat="1" ht="16.5" customHeight="1">
      <c r="A197" s="303" t="s">
        <v>525</v>
      </c>
      <c r="B197" s="304">
        <v>150</v>
      </c>
    </row>
    <row r="198" spans="1:2" s="25" customFormat="1" ht="16.5" customHeight="1">
      <c r="A198" s="49" t="s">
        <v>526</v>
      </c>
      <c r="B198" s="305">
        <v>93</v>
      </c>
    </row>
    <row r="199" spans="1:2" s="25" customFormat="1" ht="16.5" customHeight="1">
      <c r="A199" s="292" t="s">
        <v>527</v>
      </c>
      <c r="B199" s="305">
        <v>1990</v>
      </c>
    </row>
    <row r="200" spans="1:2" s="25" customFormat="1" ht="16.5" customHeight="1">
      <c r="A200" s="51" t="s">
        <v>397</v>
      </c>
      <c r="B200" s="305">
        <v>1633</v>
      </c>
    </row>
    <row r="201" spans="1:2" s="25" customFormat="1" ht="16.5" customHeight="1">
      <c r="A201" s="292" t="s">
        <v>398</v>
      </c>
      <c r="B201" s="305">
        <v>143</v>
      </c>
    </row>
    <row r="202" spans="1:2" s="25" customFormat="1" ht="16.5" customHeight="1">
      <c r="A202" s="49" t="s">
        <v>528</v>
      </c>
      <c r="B202" s="305">
        <v>179</v>
      </c>
    </row>
    <row r="203" spans="1:2" s="25" customFormat="1" ht="16.5" customHeight="1">
      <c r="A203" s="49" t="s">
        <v>529</v>
      </c>
      <c r="B203" s="305">
        <v>15</v>
      </c>
    </row>
    <row r="204" spans="1:2" s="25" customFormat="1" ht="16.5" customHeight="1">
      <c r="A204" s="292" t="s">
        <v>530</v>
      </c>
      <c r="B204" s="305">
        <v>20</v>
      </c>
    </row>
    <row r="205" spans="1:2" s="25" customFormat="1" ht="16.5" customHeight="1">
      <c r="A205" s="49" t="s">
        <v>531</v>
      </c>
      <c r="B205" s="305">
        <v>17</v>
      </c>
    </row>
    <row r="206" spans="1:2" s="25" customFormat="1" ht="16.5" customHeight="1">
      <c r="A206" s="49" t="s">
        <v>398</v>
      </c>
      <c r="B206" s="305">
        <v>17</v>
      </c>
    </row>
    <row r="207" spans="1:2" s="25" customFormat="1" ht="16.5" customHeight="1">
      <c r="A207" s="49" t="s">
        <v>532</v>
      </c>
      <c r="B207" s="305">
        <v>46071</v>
      </c>
    </row>
    <row r="208" spans="1:2" s="25" customFormat="1" ht="16.5" customHeight="1">
      <c r="A208" s="292" t="s">
        <v>533</v>
      </c>
      <c r="B208" s="305">
        <v>2070</v>
      </c>
    </row>
    <row r="209" spans="1:2" s="25" customFormat="1" ht="16.5" customHeight="1">
      <c r="A209" s="292" t="s">
        <v>397</v>
      </c>
      <c r="B209" s="305">
        <v>514</v>
      </c>
    </row>
    <row r="210" spans="1:2" s="25" customFormat="1" ht="16.5" customHeight="1">
      <c r="A210" s="292" t="s">
        <v>398</v>
      </c>
      <c r="B210" s="305">
        <v>744</v>
      </c>
    </row>
    <row r="211" spans="1:2" s="25" customFormat="1" ht="16.5" customHeight="1">
      <c r="A211" s="292" t="s">
        <v>534</v>
      </c>
      <c r="B211" s="305">
        <v>812</v>
      </c>
    </row>
    <row r="212" spans="1:2" s="25" customFormat="1" ht="16.5" customHeight="1">
      <c r="A212" s="49" t="s">
        <v>535</v>
      </c>
      <c r="B212" s="305">
        <v>24470</v>
      </c>
    </row>
    <row r="213" spans="1:2" s="25" customFormat="1" ht="16.5" customHeight="1">
      <c r="A213" s="49" t="s">
        <v>536</v>
      </c>
      <c r="B213" s="305">
        <v>1681</v>
      </c>
    </row>
    <row r="214" spans="1:2" s="25" customFormat="1" ht="16.5" customHeight="1">
      <c r="A214" s="292" t="s">
        <v>537</v>
      </c>
      <c r="B214" s="305">
        <v>7953</v>
      </c>
    </row>
    <row r="215" spans="1:2" s="25" customFormat="1" ht="16.5" customHeight="1">
      <c r="A215" s="292" t="s">
        <v>538</v>
      </c>
      <c r="B215" s="305">
        <v>5201</v>
      </c>
    </row>
    <row r="216" spans="1:2" s="25" customFormat="1" ht="16.5" customHeight="1">
      <c r="A216" s="49" t="s">
        <v>539</v>
      </c>
      <c r="B216" s="305">
        <v>8871</v>
      </c>
    </row>
    <row r="217" spans="1:2" s="25" customFormat="1" ht="16.5" customHeight="1">
      <c r="A217" s="49" t="s">
        <v>540</v>
      </c>
      <c r="B217" s="305">
        <v>764</v>
      </c>
    </row>
    <row r="218" spans="1:2" s="25" customFormat="1" ht="16.5" customHeight="1">
      <c r="A218" s="292" t="s">
        <v>541</v>
      </c>
      <c r="B218" s="305">
        <v>14016</v>
      </c>
    </row>
    <row r="219" spans="1:2" s="25" customFormat="1" ht="16.5" customHeight="1">
      <c r="A219" s="49" t="s">
        <v>542</v>
      </c>
      <c r="B219" s="305">
        <v>6812</v>
      </c>
    </row>
    <row r="220" spans="1:2" s="25" customFormat="1" ht="16.5" customHeight="1">
      <c r="A220" s="49" t="s">
        <v>543</v>
      </c>
      <c r="B220" s="305">
        <v>42</v>
      </c>
    </row>
    <row r="221" spans="1:2" s="25" customFormat="1" ht="16.5" customHeight="1">
      <c r="A221" s="49" t="s">
        <v>544</v>
      </c>
      <c r="B221" s="305">
        <v>6526</v>
      </c>
    </row>
    <row r="222" spans="1:2" s="25" customFormat="1" ht="16.5" customHeight="1">
      <c r="A222" s="292" t="s">
        <v>545</v>
      </c>
      <c r="B222" s="305">
        <v>636</v>
      </c>
    </row>
    <row r="223" spans="1:2" s="25" customFormat="1" ht="16.5" customHeight="1">
      <c r="A223" s="49" t="s">
        <v>546</v>
      </c>
      <c r="B223" s="305">
        <v>1262</v>
      </c>
    </row>
    <row r="224" spans="1:2" s="25" customFormat="1" ht="16.5" customHeight="1">
      <c r="A224" s="49" t="s">
        <v>547</v>
      </c>
      <c r="B224" s="305">
        <v>1262</v>
      </c>
    </row>
    <row r="225" spans="1:2" s="25" customFormat="1" ht="16.5" customHeight="1">
      <c r="A225" s="55" t="s">
        <v>548</v>
      </c>
      <c r="B225" s="306">
        <v>4253</v>
      </c>
    </row>
    <row r="226" spans="1:2" s="25" customFormat="1" ht="16.5" customHeight="1">
      <c r="A226" s="51" t="s">
        <v>549</v>
      </c>
      <c r="B226" s="305">
        <v>14</v>
      </c>
    </row>
    <row r="227" spans="1:2" s="25" customFormat="1" ht="16.5" customHeight="1">
      <c r="A227" s="292" t="s">
        <v>550</v>
      </c>
      <c r="B227" s="305">
        <v>1874</v>
      </c>
    </row>
    <row r="228" spans="1:2" s="25" customFormat="1" ht="16.5" customHeight="1">
      <c r="A228" s="49" t="s">
        <v>551</v>
      </c>
      <c r="B228" s="305">
        <v>2365</v>
      </c>
    </row>
    <row r="229" spans="1:2" s="25" customFormat="1" ht="16.5" customHeight="1">
      <c r="A229" s="292" t="s">
        <v>552</v>
      </c>
      <c r="B229" s="305">
        <v>6685</v>
      </c>
    </row>
    <row r="230" spans="1:2" s="25" customFormat="1" ht="16.5" customHeight="1">
      <c r="A230" s="292" t="s">
        <v>553</v>
      </c>
      <c r="B230" s="305">
        <v>242</v>
      </c>
    </row>
    <row r="231" spans="1:2" s="25" customFormat="1" ht="16.5" customHeight="1">
      <c r="A231" s="292" t="s">
        <v>397</v>
      </c>
      <c r="B231" s="305">
        <v>242</v>
      </c>
    </row>
    <row r="232" spans="1:2" s="25" customFormat="1" ht="16.5" customHeight="1">
      <c r="A232" s="292" t="s">
        <v>554</v>
      </c>
      <c r="B232" s="305">
        <v>30</v>
      </c>
    </row>
    <row r="233" spans="1:2" s="25" customFormat="1" ht="16.5" customHeight="1">
      <c r="A233" s="292" t="s">
        <v>555</v>
      </c>
      <c r="B233" s="305">
        <v>30</v>
      </c>
    </row>
    <row r="234" spans="1:2" s="25" customFormat="1" ht="16.5" customHeight="1">
      <c r="A234" s="49" t="s">
        <v>556</v>
      </c>
      <c r="B234" s="305">
        <v>5342</v>
      </c>
    </row>
    <row r="235" spans="1:2" s="25" customFormat="1" ht="16.5" customHeight="1">
      <c r="A235" s="309" t="s">
        <v>557</v>
      </c>
      <c r="B235" s="310">
        <v>282</v>
      </c>
    </row>
    <row r="236" spans="1:2" s="25" customFormat="1" ht="16.5" customHeight="1">
      <c r="A236" s="311" t="s">
        <v>558</v>
      </c>
      <c r="B236" s="304">
        <v>5000</v>
      </c>
    </row>
    <row r="237" spans="1:2" s="25" customFormat="1" ht="16.5" customHeight="1">
      <c r="A237" s="49" t="s">
        <v>559</v>
      </c>
      <c r="B237" s="305">
        <v>60</v>
      </c>
    </row>
    <row r="238" spans="1:2" s="25" customFormat="1" ht="16.5" customHeight="1">
      <c r="A238" s="49" t="s">
        <v>560</v>
      </c>
      <c r="B238" s="305">
        <v>310</v>
      </c>
    </row>
    <row r="239" spans="1:2" s="25" customFormat="1" ht="16.5" customHeight="1">
      <c r="A239" s="292" t="s">
        <v>561</v>
      </c>
      <c r="B239" s="305">
        <v>310</v>
      </c>
    </row>
    <row r="240" spans="1:2" s="25" customFormat="1" ht="16.5" customHeight="1">
      <c r="A240" s="49" t="s">
        <v>562</v>
      </c>
      <c r="B240" s="305">
        <v>217</v>
      </c>
    </row>
    <row r="241" spans="1:2" s="25" customFormat="1" ht="16.5" customHeight="1">
      <c r="A241" s="50" t="s">
        <v>563</v>
      </c>
      <c r="B241" s="305">
        <v>171</v>
      </c>
    </row>
    <row r="242" spans="1:2" s="25" customFormat="1" ht="16.5" customHeight="1">
      <c r="A242" s="50" t="s">
        <v>564</v>
      </c>
      <c r="B242" s="305">
        <v>46</v>
      </c>
    </row>
    <row r="243" spans="1:2" s="25" customFormat="1" ht="16.5" customHeight="1">
      <c r="A243" s="50" t="s">
        <v>565</v>
      </c>
      <c r="B243" s="305">
        <v>469</v>
      </c>
    </row>
    <row r="244" spans="1:2" s="25" customFormat="1" ht="16.5" customHeight="1">
      <c r="A244" s="50" t="s">
        <v>561</v>
      </c>
      <c r="B244" s="305">
        <v>402</v>
      </c>
    </row>
    <row r="245" spans="1:2" s="25" customFormat="1" ht="16.5" customHeight="1">
      <c r="A245" s="50" t="s">
        <v>566</v>
      </c>
      <c r="B245" s="305">
        <v>38</v>
      </c>
    </row>
    <row r="246" spans="1:2" s="25" customFormat="1" ht="16.5" customHeight="1">
      <c r="A246" s="50" t="s">
        <v>567</v>
      </c>
      <c r="B246" s="305">
        <v>29</v>
      </c>
    </row>
    <row r="247" spans="1:2" s="25" customFormat="1" ht="16.5" customHeight="1">
      <c r="A247" s="50" t="s">
        <v>568</v>
      </c>
      <c r="B247" s="305">
        <v>75</v>
      </c>
    </row>
    <row r="248" spans="1:2" s="25" customFormat="1" ht="16.5" customHeight="1">
      <c r="A248" s="50" t="s">
        <v>569</v>
      </c>
      <c r="B248" s="305">
        <v>75</v>
      </c>
    </row>
    <row r="249" spans="1:2" s="25" customFormat="1" ht="16.5" customHeight="1">
      <c r="A249" s="50" t="s">
        <v>570</v>
      </c>
      <c r="B249" s="305">
        <f>12272-110</f>
        <v>12162</v>
      </c>
    </row>
    <row r="250" spans="1:2" s="25" customFormat="1" ht="16.5" customHeight="1">
      <c r="A250" s="50" t="s">
        <v>571</v>
      </c>
      <c r="B250" s="305">
        <v>3392</v>
      </c>
    </row>
    <row r="251" spans="1:2" s="25" customFormat="1" ht="16.5" customHeight="1">
      <c r="A251" s="50" t="s">
        <v>397</v>
      </c>
      <c r="B251" s="305">
        <v>537</v>
      </c>
    </row>
    <row r="252" spans="1:2" s="25" customFormat="1" ht="16.5" customHeight="1">
      <c r="A252" s="50" t="s">
        <v>398</v>
      </c>
      <c r="B252" s="305">
        <v>5</v>
      </c>
    </row>
    <row r="253" spans="1:2" s="25" customFormat="1" ht="16.5" customHeight="1">
      <c r="A253" s="50" t="s">
        <v>572</v>
      </c>
      <c r="B253" s="305">
        <v>925</v>
      </c>
    </row>
    <row r="254" spans="1:2" s="25" customFormat="1" ht="16.5" customHeight="1">
      <c r="A254" s="50" t="s">
        <v>573</v>
      </c>
      <c r="B254" s="305">
        <v>827</v>
      </c>
    </row>
    <row r="255" spans="1:2" s="25" customFormat="1" ht="16.5" customHeight="1">
      <c r="A255" s="51" t="s">
        <v>574</v>
      </c>
      <c r="B255" s="305">
        <v>58</v>
      </c>
    </row>
    <row r="256" spans="1:2" s="25" customFormat="1" ht="16.5" customHeight="1">
      <c r="A256" s="51" t="s">
        <v>575</v>
      </c>
      <c r="B256" s="305">
        <v>432</v>
      </c>
    </row>
    <row r="257" spans="1:2" s="25" customFormat="1" ht="16.5" customHeight="1">
      <c r="A257" s="51" t="s">
        <v>576</v>
      </c>
      <c r="B257" s="305">
        <v>102</v>
      </c>
    </row>
    <row r="258" spans="1:2" s="25" customFormat="1" ht="16.5" customHeight="1">
      <c r="A258" s="50" t="s">
        <v>577</v>
      </c>
      <c r="B258" s="305">
        <v>257</v>
      </c>
    </row>
    <row r="259" spans="1:2" s="25" customFormat="1" ht="16.5" customHeight="1">
      <c r="A259" s="50" t="s">
        <v>578</v>
      </c>
      <c r="B259" s="305">
        <v>249</v>
      </c>
    </row>
    <row r="260" spans="1:2" s="25" customFormat="1" ht="16.5" customHeight="1">
      <c r="A260" s="51" t="s">
        <v>579</v>
      </c>
      <c r="B260" s="305">
        <v>990</v>
      </c>
    </row>
    <row r="261" spans="1:2" s="25" customFormat="1" ht="16.5" customHeight="1">
      <c r="A261" s="51" t="s">
        <v>397</v>
      </c>
      <c r="B261" s="305">
        <v>279</v>
      </c>
    </row>
    <row r="262" spans="1:2" s="25" customFormat="1" ht="16.5" customHeight="1">
      <c r="A262" s="52" t="s">
        <v>398</v>
      </c>
      <c r="B262" s="306">
        <v>6</v>
      </c>
    </row>
    <row r="263" spans="1:2" s="25" customFormat="1" ht="16.5" customHeight="1">
      <c r="A263" s="50" t="s">
        <v>580</v>
      </c>
      <c r="B263" s="305">
        <v>119</v>
      </c>
    </row>
    <row r="264" spans="1:2" s="25" customFormat="1" ht="16.5" customHeight="1">
      <c r="A264" s="51" t="s">
        <v>581</v>
      </c>
      <c r="B264" s="305">
        <v>577</v>
      </c>
    </row>
    <row r="265" spans="1:2" s="25" customFormat="1" ht="16.5" customHeight="1">
      <c r="A265" s="51" t="s">
        <v>582</v>
      </c>
      <c r="B265" s="305">
        <v>9</v>
      </c>
    </row>
    <row r="266" spans="1:2" s="25" customFormat="1" ht="16.5" customHeight="1">
      <c r="A266" s="51" t="s">
        <v>583</v>
      </c>
      <c r="B266" s="305">
        <v>1383</v>
      </c>
    </row>
    <row r="267" spans="1:2" s="25" customFormat="1" ht="16.5" customHeight="1">
      <c r="A267" s="50" t="s">
        <v>397</v>
      </c>
      <c r="B267" s="305">
        <v>383</v>
      </c>
    </row>
    <row r="268" spans="1:2" s="25" customFormat="1" ht="16.5" customHeight="1">
      <c r="A268" s="51" t="s">
        <v>584</v>
      </c>
      <c r="B268" s="305">
        <v>197</v>
      </c>
    </row>
    <row r="269" spans="1:2" s="25" customFormat="1" ht="16.5" customHeight="1">
      <c r="A269" s="50" t="s">
        <v>585</v>
      </c>
      <c r="B269" s="305">
        <v>717</v>
      </c>
    </row>
    <row r="270" spans="1:2" s="25" customFormat="1" ht="16.5" customHeight="1">
      <c r="A270" s="50" t="s">
        <v>586</v>
      </c>
      <c r="B270" s="305">
        <v>36</v>
      </c>
    </row>
    <row r="271" spans="1:2" s="25" customFormat="1" ht="16.5" customHeight="1">
      <c r="A271" s="50" t="s">
        <v>587</v>
      </c>
      <c r="B271" s="305">
        <v>50</v>
      </c>
    </row>
    <row r="272" spans="1:2" s="25" customFormat="1" ht="16.5" customHeight="1">
      <c r="A272" s="50" t="s">
        <v>588</v>
      </c>
      <c r="B272" s="305">
        <f>5652-50</f>
        <v>5602</v>
      </c>
    </row>
    <row r="273" spans="1:2" s="25" customFormat="1" ht="16.5" customHeight="1">
      <c r="A273" s="50" t="s">
        <v>589</v>
      </c>
      <c r="B273" s="305">
        <v>355</v>
      </c>
    </row>
    <row r="274" spans="1:2" s="25" customFormat="1" ht="16.5" customHeight="1">
      <c r="A274" s="313" t="s">
        <v>590</v>
      </c>
      <c r="B274" s="310">
        <v>4532</v>
      </c>
    </row>
    <row r="275" spans="1:2" s="25" customFormat="1" ht="16.5" customHeight="1">
      <c r="A275" s="314" t="s">
        <v>591</v>
      </c>
      <c r="B275" s="304">
        <v>53</v>
      </c>
    </row>
    <row r="276" spans="1:2" s="25" customFormat="1" ht="16.5" customHeight="1">
      <c r="A276" s="50" t="s">
        <v>592</v>
      </c>
      <c r="B276" s="305">
        <v>580</v>
      </c>
    </row>
    <row r="277" spans="1:2" s="25" customFormat="1" ht="16.5" customHeight="1">
      <c r="A277" s="50" t="s">
        <v>593</v>
      </c>
      <c r="B277" s="305">
        <v>82</v>
      </c>
    </row>
    <row r="278" spans="1:2" s="25" customFormat="1" ht="16.5" customHeight="1">
      <c r="A278" s="50" t="s">
        <v>594</v>
      </c>
      <c r="B278" s="305">
        <f>855-60</f>
        <v>795</v>
      </c>
    </row>
    <row r="279" spans="1:2" s="25" customFormat="1" ht="16.5" customHeight="1">
      <c r="A279" s="50" t="s">
        <v>595</v>
      </c>
      <c r="B279" s="305">
        <v>585</v>
      </c>
    </row>
    <row r="280" spans="1:2" s="25" customFormat="1" ht="16.5" customHeight="1">
      <c r="A280" s="50" t="s">
        <v>596</v>
      </c>
      <c r="B280" s="305">
        <f>130-60</f>
        <v>70</v>
      </c>
    </row>
    <row r="281" spans="1:2" s="25" customFormat="1" ht="16.5" customHeight="1">
      <c r="A281" s="50" t="s">
        <v>597</v>
      </c>
      <c r="B281" s="305">
        <v>140</v>
      </c>
    </row>
    <row r="282" spans="1:2" s="25" customFormat="1" ht="16.5" customHeight="1">
      <c r="A282" s="50" t="s">
        <v>598</v>
      </c>
      <c r="B282" s="305">
        <v>62208</v>
      </c>
    </row>
    <row r="283" spans="1:2" s="25" customFormat="1" ht="16.5" customHeight="1">
      <c r="A283" s="50" t="s">
        <v>599</v>
      </c>
      <c r="B283" s="305">
        <v>3693</v>
      </c>
    </row>
    <row r="284" spans="1:2" s="25" customFormat="1" ht="16.5" customHeight="1">
      <c r="A284" s="50" t="s">
        <v>397</v>
      </c>
      <c r="B284" s="305">
        <v>768</v>
      </c>
    </row>
    <row r="285" spans="1:2" s="25" customFormat="1" ht="16.5" customHeight="1">
      <c r="A285" s="50" t="s">
        <v>398</v>
      </c>
      <c r="B285" s="305">
        <v>737</v>
      </c>
    </row>
    <row r="286" spans="1:2" s="25" customFormat="1" ht="16.5" customHeight="1">
      <c r="A286" s="50" t="s">
        <v>600</v>
      </c>
      <c r="B286" s="305">
        <v>105</v>
      </c>
    </row>
    <row r="287" spans="1:2" s="25" customFormat="1" ht="16.5" customHeight="1">
      <c r="A287" s="50" t="s">
        <v>422</v>
      </c>
      <c r="B287" s="305">
        <v>110</v>
      </c>
    </row>
    <row r="288" spans="1:2" s="25" customFormat="1" ht="16.5" customHeight="1">
      <c r="A288" s="50" t="s">
        <v>601</v>
      </c>
      <c r="B288" s="305">
        <v>880</v>
      </c>
    </row>
    <row r="289" spans="1:2" s="25" customFormat="1" ht="16.5" customHeight="1">
      <c r="A289" s="50" t="s">
        <v>602</v>
      </c>
      <c r="B289" s="305">
        <v>786</v>
      </c>
    </row>
    <row r="290" spans="1:2" s="25" customFormat="1" ht="16.5" customHeight="1">
      <c r="A290" s="50" t="s">
        <v>603</v>
      </c>
      <c r="B290" s="305">
        <v>307</v>
      </c>
    </row>
    <row r="291" spans="1:2" s="25" customFormat="1" ht="16.5" customHeight="1">
      <c r="A291" s="50" t="s">
        <v>604</v>
      </c>
      <c r="B291" s="305">
        <v>1232</v>
      </c>
    </row>
    <row r="292" spans="1:2" s="25" customFormat="1" ht="16.5" customHeight="1">
      <c r="A292" s="50" t="s">
        <v>397</v>
      </c>
      <c r="B292" s="305">
        <v>435</v>
      </c>
    </row>
    <row r="293" spans="1:2" s="25" customFormat="1" ht="16.5" customHeight="1">
      <c r="A293" s="50" t="s">
        <v>398</v>
      </c>
      <c r="B293" s="305">
        <v>60</v>
      </c>
    </row>
    <row r="294" spans="1:2" s="25" customFormat="1" ht="16.5" customHeight="1">
      <c r="A294" s="50" t="s">
        <v>605</v>
      </c>
      <c r="B294" s="305">
        <v>116</v>
      </c>
    </row>
    <row r="295" spans="1:2" s="25" customFormat="1" ht="16.5" customHeight="1">
      <c r="A295" s="50" t="s">
        <v>606</v>
      </c>
      <c r="B295" s="305">
        <v>286</v>
      </c>
    </row>
    <row r="296" spans="1:2" s="25" customFormat="1" ht="16.5" customHeight="1">
      <c r="A296" s="50" t="s">
        <v>607</v>
      </c>
      <c r="B296" s="305">
        <v>15</v>
      </c>
    </row>
    <row r="297" spans="1:2" s="25" customFormat="1" ht="16.5" customHeight="1">
      <c r="A297" s="50" t="s">
        <v>608</v>
      </c>
      <c r="B297" s="305">
        <v>85</v>
      </c>
    </row>
    <row r="298" spans="1:2" s="25" customFormat="1" ht="16.5" customHeight="1">
      <c r="A298" s="50" t="s">
        <v>609</v>
      </c>
      <c r="B298" s="305">
        <v>50</v>
      </c>
    </row>
    <row r="299" spans="1:2" s="25" customFormat="1" ht="16.5" customHeight="1">
      <c r="A299" s="52" t="s">
        <v>610</v>
      </c>
      <c r="B299" s="306">
        <v>185</v>
      </c>
    </row>
    <row r="300" spans="1:2" s="25" customFormat="1" ht="16.5" customHeight="1">
      <c r="A300" s="50" t="s">
        <v>611</v>
      </c>
      <c r="B300" s="305">
        <v>43832</v>
      </c>
    </row>
    <row r="301" spans="1:2" s="25" customFormat="1" ht="16.5" customHeight="1">
      <c r="A301" s="50" t="s">
        <v>612</v>
      </c>
      <c r="B301" s="305">
        <v>20444</v>
      </c>
    </row>
    <row r="302" spans="1:2" s="25" customFormat="1" ht="16.5" customHeight="1">
      <c r="A302" s="50" t="s">
        <v>613</v>
      </c>
      <c r="B302" s="305">
        <v>1231</v>
      </c>
    </row>
    <row r="303" spans="1:2" s="25" customFormat="1" ht="16.5" customHeight="1">
      <c r="A303" s="50" t="s">
        <v>614</v>
      </c>
      <c r="B303" s="305">
        <v>13046</v>
      </c>
    </row>
    <row r="304" spans="1:2" s="25" customFormat="1" ht="16.5" customHeight="1">
      <c r="A304" s="50" t="s">
        <v>615</v>
      </c>
      <c r="B304" s="305">
        <v>9111</v>
      </c>
    </row>
    <row r="305" spans="1:2" s="25" customFormat="1" ht="16.5" customHeight="1">
      <c r="A305" s="50" t="s">
        <v>616</v>
      </c>
      <c r="B305" s="305">
        <v>33</v>
      </c>
    </row>
    <row r="306" spans="1:2" s="25" customFormat="1" ht="16.5" customHeight="1">
      <c r="A306" s="50" t="s">
        <v>617</v>
      </c>
      <c r="B306" s="305">
        <v>26</v>
      </c>
    </row>
    <row r="307" spans="1:2" s="25" customFormat="1" ht="16.5" customHeight="1">
      <c r="A307" s="50" t="s">
        <v>618</v>
      </c>
      <c r="B307" s="305">
        <v>7</v>
      </c>
    </row>
    <row r="308" spans="1:2" s="25" customFormat="1" ht="16.5" customHeight="1">
      <c r="A308" s="50" t="s">
        <v>619</v>
      </c>
      <c r="B308" s="305">
        <v>1543</v>
      </c>
    </row>
    <row r="309" spans="1:2" s="25" customFormat="1" ht="16.5" customHeight="1">
      <c r="A309" s="50" t="s">
        <v>620</v>
      </c>
      <c r="B309" s="305">
        <v>1347</v>
      </c>
    </row>
    <row r="310" spans="1:2" s="25" customFormat="1" ht="16.5" customHeight="1">
      <c r="A310" s="50" t="s">
        <v>621</v>
      </c>
      <c r="B310" s="305">
        <v>185</v>
      </c>
    </row>
    <row r="311" spans="1:2" s="25" customFormat="1" ht="16.5" customHeight="1">
      <c r="A311" s="50" t="s">
        <v>622</v>
      </c>
      <c r="B311" s="305">
        <v>11</v>
      </c>
    </row>
    <row r="312" spans="1:2" s="25" customFormat="1" ht="16.5" customHeight="1">
      <c r="A312" s="313" t="s">
        <v>623</v>
      </c>
      <c r="B312" s="310">
        <v>828</v>
      </c>
    </row>
    <row r="313" spans="1:2" s="25" customFormat="1" ht="16.5" customHeight="1">
      <c r="A313" s="314" t="s">
        <v>624</v>
      </c>
      <c r="B313" s="304">
        <v>828</v>
      </c>
    </row>
    <row r="314" spans="1:2" s="25" customFormat="1" ht="16.5" customHeight="1">
      <c r="A314" s="50" t="s">
        <v>625</v>
      </c>
      <c r="B314" s="305">
        <v>595</v>
      </c>
    </row>
    <row r="315" spans="1:2" s="25" customFormat="1" ht="16.5" customHeight="1">
      <c r="A315" s="50" t="s">
        <v>626</v>
      </c>
      <c r="B315" s="305">
        <v>25</v>
      </c>
    </row>
    <row r="316" spans="1:2" s="25" customFormat="1" ht="16.5" customHeight="1">
      <c r="A316" s="50" t="s">
        <v>627</v>
      </c>
      <c r="B316" s="305">
        <v>570</v>
      </c>
    </row>
    <row r="317" spans="1:2" s="25" customFormat="1" ht="16.5" customHeight="1">
      <c r="A317" s="50" t="s">
        <v>628</v>
      </c>
      <c r="B317" s="305">
        <v>1125</v>
      </c>
    </row>
    <row r="318" spans="1:2" s="25" customFormat="1" ht="16.5" customHeight="1">
      <c r="A318" s="50" t="s">
        <v>397</v>
      </c>
      <c r="B318" s="305">
        <v>162</v>
      </c>
    </row>
    <row r="319" spans="1:2" s="25" customFormat="1" ht="16.5" customHeight="1">
      <c r="A319" s="50" t="s">
        <v>398</v>
      </c>
      <c r="B319" s="305">
        <v>16</v>
      </c>
    </row>
    <row r="320" spans="1:2" s="25" customFormat="1" ht="16.5" customHeight="1">
      <c r="A320" s="50" t="s">
        <v>629</v>
      </c>
      <c r="B320" s="305">
        <v>434</v>
      </c>
    </row>
    <row r="321" spans="1:2" s="25" customFormat="1" ht="16.5" customHeight="1">
      <c r="A321" s="50" t="s">
        <v>630</v>
      </c>
      <c r="B321" s="305">
        <v>247</v>
      </c>
    </row>
    <row r="322" spans="1:2" s="25" customFormat="1" ht="16.5" customHeight="1">
      <c r="A322" s="50" t="s">
        <v>631</v>
      </c>
      <c r="B322" s="305">
        <v>60</v>
      </c>
    </row>
    <row r="323" spans="1:2" s="25" customFormat="1" ht="16.5" customHeight="1">
      <c r="A323" s="50" t="s">
        <v>632</v>
      </c>
      <c r="B323" s="305">
        <v>206</v>
      </c>
    </row>
    <row r="324" spans="1:2" s="25" customFormat="1" ht="16.5" customHeight="1">
      <c r="A324" s="50" t="s">
        <v>633</v>
      </c>
      <c r="B324" s="305">
        <v>102</v>
      </c>
    </row>
    <row r="325" spans="1:2" s="25" customFormat="1" ht="16.5" customHeight="1">
      <c r="A325" s="50" t="s">
        <v>397</v>
      </c>
      <c r="B325" s="305">
        <v>68</v>
      </c>
    </row>
    <row r="326" spans="1:2" s="25" customFormat="1" ht="16.5" customHeight="1">
      <c r="A326" s="50" t="s">
        <v>398</v>
      </c>
      <c r="B326" s="305">
        <v>28</v>
      </c>
    </row>
    <row r="327" spans="1:2" s="25" customFormat="1" ht="16.5" customHeight="1">
      <c r="A327" s="50" t="s">
        <v>634</v>
      </c>
      <c r="B327" s="305">
        <v>6</v>
      </c>
    </row>
    <row r="328" spans="1:2" s="25" customFormat="1" ht="16.5" customHeight="1">
      <c r="A328" s="50" t="s">
        <v>635</v>
      </c>
      <c r="B328" s="305">
        <v>385</v>
      </c>
    </row>
    <row r="329" spans="1:2" s="25" customFormat="1" ht="16.5" customHeight="1">
      <c r="A329" s="50" t="s">
        <v>636</v>
      </c>
      <c r="B329" s="305">
        <v>385</v>
      </c>
    </row>
    <row r="330" spans="1:2" s="25" customFormat="1" ht="16.5" customHeight="1">
      <c r="A330" s="50" t="s">
        <v>637</v>
      </c>
      <c r="B330" s="305">
        <v>113</v>
      </c>
    </row>
    <row r="331" spans="1:2" s="25" customFormat="1" ht="16.5" customHeight="1">
      <c r="A331" s="50" t="s">
        <v>638</v>
      </c>
      <c r="B331" s="305">
        <v>113</v>
      </c>
    </row>
    <row r="332" spans="1:2" s="25" customFormat="1" ht="16.5" customHeight="1">
      <c r="A332" s="50" t="s">
        <v>639</v>
      </c>
      <c r="B332" s="305">
        <v>7000</v>
      </c>
    </row>
    <row r="333" spans="1:2" s="25" customFormat="1" ht="16.5" customHeight="1">
      <c r="A333" s="50" t="s">
        <v>640</v>
      </c>
      <c r="B333" s="305">
        <v>7000</v>
      </c>
    </row>
    <row r="334" spans="1:2" s="25" customFormat="1" ht="16.5" customHeight="1">
      <c r="A334" s="50" t="s">
        <v>641</v>
      </c>
      <c r="B334" s="305">
        <v>152</v>
      </c>
    </row>
    <row r="335" spans="1:2" s="25" customFormat="1" ht="16.5" customHeight="1">
      <c r="A335" s="50" t="s">
        <v>642</v>
      </c>
      <c r="B335" s="305">
        <v>152</v>
      </c>
    </row>
    <row r="336" spans="1:2" s="25" customFormat="1" ht="16.5" customHeight="1">
      <c r="A336" s="52" t="s">
        <v>643</v>
      </c>
      <c r="B336" s="306">
        <v>1575</v>
      </c>
    </row>
    <row r="337" spans="1:2" s="25" customFormat="1" ht="16.5" customHeight="1">
      <c r="A337" s="50" t="s">
        <v>644</v>
      </c>
      <c r="B337" s="305">
        <v>1575</v>
      </c>
    </row>
    <row r="338" spans="1:2" s="25" customFormat="1" ht="16.5" customHeight="1">
      <c r="A338" s="50" t="s">
        <v>645</v>
      </c>
      <c r="B338" s="305">
        <v>23237</v>
      </c>
    </row>
    <row r="339" spans="1:2" s="25" customFormat="1" ht="16.5" customHeight="1">
      <c r="A339" s="50" t="s">
        <v>646</v>
      </c>
      <c r="B339" s="305">
        <v>1298</v>
      </c>
    </row>
    <row r="340" spans="1:2" s="25" customFormat="1" ht="16.5" customHeight="1">
      <c r="A340" s="50" t="s">
        <v>397</v>
      </c>
      <c r="B340" s="305">
        <v>952</v>
      </c>
    </row>
    <row r="341" spans="1:2" s="25" customFormat="1" ht="16.5" customHeight="1">
      <c r="A341" s="50" t="s">
        <v>398</v>
      </c>
      <c r="B341" s="305">
        <v>190</v>
      </c>
    </row>
    <row r="342" spans="1:2" s="25" customFormat="1" ht="16.5" customHeight="1">
      <c r="A342" s="50" t="s">
        <v>647</v>
      </c>
      <c r="B342" s="305">
        <v>156</v>
      </c>
    </row>
    <row r="343" spans="1:2" s="25" customFormat="1" ht="16.5" customHeight="1">
      <c r="A343" s="50" t="s">
        <v>648</v>
      </c>
      <c r="B343" s="305">
        <v>8230</v>
      </c>
    </row>
    <row r="344" spans="1:2" s="25" customFormat="1" ht="16.5" customHeight="1">
      <c r="A344" s="50" t="s">
        <v>649</v>
      </c>
      <c r="B344" s="305">
        <v>1398</v>
      </c>
    </row>
    <row r="345" spans="1:2" s="25" customFormat="1" ht="16.5" customHeight="1">
      <c r="A345" s="50" t="s">
        <v>650</v>
      </c>
      <c r="B345" s="305">
        <v>2239</v>
      </c>
    </row>
    <row r="346" spans="1:2" s="25" customFormat="1" ht="16.5" customHeight="1">
      <c r="A346" s="50" t="s">
        <v>651</v>
      </c>
      <c r="B346" s="305">
        <v>1386</v>
      </c>
    </row>
    <row r="347" spans="1:2" s="25" customFormat="1" ht="16.5" customHeight="1">
      <c r="A347" s="50" t="s">
        <v>652</v>
      </c>
      <c r="B347" s="305">
        <v>880</v>
      </c>
    </row>
    <row r="348" spans="1:2" s="25" customFormat="1" ht="16.5" customHeight="1">
      <c r="A348" s="50" t="s">
        <v>653</v>
      </c>
      <c r="B348" s="305">
        <v>631</v>
      </c>
    </row>
    <row r="349" spans="1:2" s="25" customFormat="1" ht="16.5" customHeight="1">
      <c r="A349" s="50" t="s">
        <v>654</v>
      </c>
      <c r="B349" s="305">
        <v>96</v>
      </c>
    </row>
    <row r="350" spans="1:2" s="25" customFormat="1" ht="16.5" customHeight="1">
      <c r="A350" s="50" t="s">
        <v>655</v>
      </c>
      <c r="B350" s="305">
        <v>1600</v>
      </c>
    </row>
    <row r="351" spans="1:2" s="25" customFormat="1" ht="16.5" customHeight="1">
      <c r="A351" s="313" t="s">
        <v>656</v>
      </c>
      <c r="B351" s="310">
        <v>49</v>
      </c>
    </row>
    <row r="352" spans="1:2" s="25" customFormat="1" ht="16.5" customHeight="1">
      <c r="A352" s="314" t="s">
        <v>657</v>
      </c>
      <c r="B352" s="304">
        <v>1</v>
      </c>
    </row>
    <row r="353" spans="1:2" s="25" customFormat="1" ht="16.5" customHeight="1">
      <c r="A353" s="50" t="s">
        <v>658</v>
      </c>
      <c r="B353" s="305">
        <v>48</v>
      </c>
    </row>
    <row r="354" spans="1:2" s="25" customFormat="1" ht="16.5" customHeight="1">
      <c r="A354" s="50" t="s">
        <v>659</v>
      </c>
      <c r="B354" s="305">
        <v>5600</v>
      </c>
    </row>
    <row r="355" spans="1:2" s="25" customFormat="1" ht="16.5" customHeight="1">
      <c r="A355" s="50" t="s">
        <v>660</v>
      </c>
      <c r="B355" s="305">
        <v>1100</v>
      </c>
    </row>
    <row r="356" spans="1:2" s="25" customFormat="1" ht="16.5" customHeight="1">
      <c r="A356" s="50" t="s">
        <v>661</v>
      </c>
      <c r="B356" s="305">
        <v>516</v>
      </c>
    </row>
    <row r="357" spans="1:2" s="25" customFormat="1" ht="16.5" customHeight="1">
      <c r="A357" s="50" t="s">
        <v>662</v>
      </c>
      <c r="B357" s="305">
        <v>179</v>
      </c>
    </row>
    <row r="358" spans="1:2" s="25" customFormat="1" ht="16.5" customHeight="1">
      <c r="A358" s="50" t="s">
        <v>663</v>
      </c>
      <c r="B358" s="305">
        <v>1312</v>
      </c>
    </row>
    <row r="359" spans="1:2" s="25" customFormat="1" ht="16.5" customHeight="1">
      <c r="A359" s="50" t="s">
        <v>664</v>
      </c>
      <c r="B359" s="305">
        <v>1069</v>
      </c>
    </row>
    <row r="360" spans="1:2" s="25" customFormat="1" ht="16.5" customHeight="1">
      <c r="A360" s="50" t="s">
        <v>665</v>
      </c>
      <c r="B360" s="305">
        <v>1424</v>
      </c>
    </row>
    <row r="361" spans="1:2" s="25" customFormat="1" ht="16.5" customHeight="1">
      <c r="A361" s="50" t="s">
        <v>666</v>
      </c>
      <c r="B361" s="305">
        <v>495</v>
      </c>
    </row>
    <row r="362" spans="1:2" s="25" customFormat="1" ht="16.5" customHeight="1">
      <c r="A362" s="50" t="s">
        <v>667</v>
      </c>
      <c r="B362" s="305">
        <v>90</v>
      </c>
    </row>
    <row r="363" spans="1:2" s="25" customFormat="1" ht="16.5" customHeight="1">
      <c r="A363" s="50" t="s">
        <v>668</v>
      </c>
      <c r="B363" s="305">
        <v>405</v>
      </c>
    </row>
    <row r="364" spans="1:2" s="25" customFormat="1" ht="16.5" customHeight="1">
      <c r="A364" s="50" t="s">
        <v>669</v>
      </c>
      <c r="B364" s="305">
        <v>2169</v>
      </c>
    </row>
    <row r="365" spans="1:2" s="25" customFormat="1" ht="16.5" customHeight="1">
      <c r="A365" s="50" t="s">
        <v>397</v>
      </c>
      <c r="B365" s="305">
        <v>715</v>
      </c>
    </row>
    <row r="366" spans="1:2" s="25" customFormat="1" ht="16.5" customHeight="1">
      <c r="A366" s="50" t="s">
        <v>398</v>
      </c>
      <c r="B366" s="305">
        <v>112</v>
      </c>
    </row>
    <row r="367" spans="1:2" s="25" customFormat="1" ht="16.5" customHeight="1">
      <c r="A367" s="50" t="s">
        <v>670</v>
      </c>
      <c r="B367" s="305">
        <v>91</v>
      </c>
    </row>
    <row r="368" spans="1:2" s="25" customFormat="1" ht="16.5" customHeight="1">
      <c r="A368" s="50" t="s">
        <v>671</v>
      </c>
      <c r="B368" s="305">
        <v>2</v>
      </c>
    </row>
    <row r="369" spans="1:2" s="25" customFormat="1" ht="16.5" customHeight="1">
      <c r="A369" s="50" t="s">
        <v>672</v>
      </c>
      <c r="B369" s="305">
        <v>6</v>
      </c>
    </row>
    <row r="370" spans="1:2" s="25" customFormat="1" ht="16.5" customHeight="1">
      <c r="A370" s="50" t="s">
        <v>673</v>
      </c>
      <c r="B370" s="305">
        <v>106</v>
      </c>
    </row>
    <row r="371" spans="1:2" s="25" customFormat="1" ht="16.5" customHeight="1">
      <c r="A371" s="50" t="s">
        <v>410</v>
      </c>
      <c r="B371" s="305">
        <v>407</v>
      </c>
    </row>
    <row r="372" spans="1:2" s="25" customFormat="1" ht="16.5" customHeight="1">
      <c r="A372" s="50" t="s">
        <v>674</v>
      </c>
      <c r="B372" s="305">
        <v>730</v>
      </c>
    </row>
    <row r="373" spans="1:2" s="25" customFormat="1" ht="16.5" customHeight="1">
      <c r="A373" s="52" t="s">
        <v>675</v>
      </c>
      <c r="B373" s="306">
        <v>5100</v>
      </c>
    </row>
    <row r="374" spans="1:2" s="25" customFormat="1" ht="16.5" customHeight="1">
      <c r="A374" s="50" t="s">
        <v>676</v>
      </c>
      <c r="B374" s="305">
        <v>2300</v>
      </c>
    </row>
    <row r="375" spans="1:2" s="25" customFormat="1" ht="16.5" customHeight="1">
      <c r="A375" s="50" t="s">
        <v>677</v>
      </c>
      <c r="B375" s="305">
        <v>2800</v>
      </c>
    </row>
    <row r="376" spans="1:2" s="25" customFormat="1" ht="16.5" customHeight="1">
      <c r="A376" s="50" t="s">
        <v>678</v>
      </c>
      <c r="B376" s="305">
        <v>138</v>
      </c>
    </row>
    <row r="377" spans="1:2" s="25" customFormat="1" ht="16.5" customHeight="1">
      <c r="A377" s="50" t="s">
        <v>679</v>
      </c>
      <c r="B377" s="305">
        <v>80</v>
      </c>
    </row>
    <row r="378" spans="1:2" s="25" customFormat="1" ht="16.5" customHeight="1">
      <c r="A378" s="50" t="s">
        <v>680</v>
      </c>
      <c r="B378" s="305">
        <v>58</v>
      </c>
    </row>
    <row r="379" spans="1:2" s="25" customFormat="1" ht="16.5" customHeight="1">
      <c r="A379" s="50" t="s">
        <v>681</v>
      </c>
      <c r="B379" s="305">
        <v>158</v>
      </c>
    </row>
    <row r="380" spans="1:2" s="25" customFormat="1" ht="16.5" customHeight="1">
      <c r="A380" s="50" t="s">
        <v>682</v>
      </c>
      <c r="B380" s="305">
        <v>158</v>
      </c>
    </row>
    <row r="381" spans="1:2" s="25" customFormat="1" ht="16.5" customHeight="1">
      <c r="A381" s="50" t="s">
        <v>683</v>
      </c>
      <c r="B381" s="305">
        <v>6666</v>
      </c>
    </row>
    <row r="382" spans="1:2" s="25" customFormat="1" ht="16.5" customHeight="1">
      <c r="A382" s="50" t="s">
        <v>684</v>
      </c>
      <c r="B382" s="305">
        <v>1011</v>
      </c>
    </row>
    <row r="383" spans="1:2" s="25" customFormat="1" ht="16.5" customHeight="1">
      <c r="A383" s="50" t="s">
        <v>397</v>
      </c>
      <c r="B383" s="305">
        <v>531</v>
      </c>
    </row>
    <row r="384" spans="1:2" s="25" customFormat="1" ht="16.5" customHeight="1">
      <c r="A384" s="50" t="s">
        <v>398</v>
      </c>
      <c r="B384" s="305">
        <v>328</v>
      </c>
    </row>
    <row r="385" spans="1:2" s="25" customFormat="1" ht="16.5" customHeight="1">
      <c r="A385" s="50" t="s">
        <v>685</v>
      </c>
      <c r="B385" s="305">
        <v>5</v>
      </c>
    </row>
    <row r="386" spans="1:2" s="25" customFormat="1" ht="16.5" customHeight="1">
      <c r="A386" s="50" t="s">
        <v>686</v>
      </c>
      <c r="B386" s="305">
        <v>67</v>
      </c>
    </row>
    <row r="387" spans="1:2" s="25" customFormat="1" ht="16.5" customHeight="1">
      <c r="A387" s="50" t="s">
        <v>687</v>
      </c>
      <c r="B387" s="305">
        <v>80</v>
      </c>
    </row>
    <row r="388" spans="1:2" s="25" customFormat="1" ht="16.5" customHeight="1">
      <c r="A388" s="50" t="s">
        <v>688</v>
      </c>
      <c r="B388" s="305">
        <v>15</v>
      </c>
    </row>
    <row r="389" spans="1:2" s="25" customFormat="1" ht="16.5" customHeight="1">
      <c r="A389" s="50" t="s">
        <v>689</v>
      </c>
      <c r="B389" s="305">
        <v>15</v>
      </c>
    </row>
    <row r="390" spans="1:2" s="25" customFormat="1" ht="16.5" customHeight="1">
      <c r="A390" s="313" t="s">
        <v>690</v>
      </c>
      <c r="B390" s="310">
        <v>3925</v>
      </c>
    </row>
    <row r="391" spans="1:2" s="25" customFormat="1" ht="16.5" customHeight="1">
      <c r="A391" s="314" t="s">
        <v>691</v>
      </c>
      <c r="B391" s="304">
        <v>3519</v>
      </c>
    </row>
    <row r="392" spans="1:2" s="25" customFormat="1" ht="16.5" customHeight="1">
      <c r="A392" s="50" t="s">
        <v>692</v>
      </c>
      <c r="B392" s="305">
        <v>212</v>
      </c>
    </row>
    <row r="393" spans="1:2" s="25" customFormat="1" ht="16.5" customHeight="1">
      <c r="A393" s="50" t="s">
        <v>693</v>
      </c>
      <c r="B393" s="305">
        <v>194</v>
      </c>
    </row>
    <row r="394" spans="1:2" s="25" customFormat="1" ht="16.5" customHeight="1">
      <c r="A394" s="50" t="s">
        <v>694</v>
      </c>
      <c r="B394" s="305">
        <v>1182</v>
      </c>
    </row>
    <row r="395" spans="1:2" s="25" customFormat="1" ht="16.5" customHeight="1">
      <c r="A395" s="50" t="s">
        <v>695</v>
      </c>
      <c r="B395" s="305">
        <v>1182</v>
      </c>
    </row>
    <row r="396" spans="1:2" s="25" customFormat="1" ht="16.5" customHeight="1">
      <c r="A396" s="50" t="s">
        <v>696</v>
      </c>
      <c r="B396" s="305">
        <v>533</v>
      </c>
    </row>
    <row r="397" spans="1:2" s="25" customFormat="1" ht="16.5" customHeight="1">
      <c r="A397" s="50" t="s">
        <v>697</v>
      </c>
      <c r="B397" s="305">
        <v>533</v>
      </c>
    </row>
    <row r="398" spans="1:2" s="25" customFormat="1" ht="16.5" customHeight="1">
      <c r="A398" s="50" t="s">
        <v>698</v>
      </c>
      <c r="B398" s="305">
        <v>8280</v>
      </c>
    </row>
    <row r="399" spans="1:2" s="25" customFormat="1" ht="16.5" customHeight="1">
      <c r="A399" s="50" t="s">
        <v>699</v>
      </c>
      <c r="B399" s="305">
        <v>4089</v>
      </c>
    </row>
    <row r="400" spans="1:2" s="25" customFormat="1" ht="16.5" customHeight="1">
      <c r="A400" s="50" t="s">
        <v>397</v>
      </c>
      <c r="B400" s="305">
        <v>639</v>
      </c>
    </row>
    <row r="401" spans="1:2" s="25" customFormat="1" ht="16.5" customHeight="1">
      <c r="A401" s="50" t="s">
        <v>398</v>
      </c>
      <c r="B401" s="305">
        <v>2</v>
      </c>
    </row>
    <row r="402" spans="1:2" s="25" customFormat="1" ht="16.5" customHeight="1">
      <c r="A402" s="50" t="s">
        <v>700</v>
      </c>
      <c r="B402" s="305">
        <v>677</v>
      </c>
    </row>
    <row r="403" spans="1:2" s="25" customFormat="1" ht="16.5" customHeight="1">
      <c r="A403" s="50" t="s">
        <v>701</v>
      </c>
      <c r="B403" s="305">
        <v>100</v>
      </c>
    </row>
    <row r="404" spans="1:2" s="25" customFormat="1" ht="16.5" customHeight="1">
      <c r="A404" s="50" t="s">
        <v>702</v>
      </c>
      <c r="B404" s="305">
        <v>624</v>
      </c>
    </row>
    <row r="405" spans="1:2" s="25" customFormat="1" ht="16.5" customHeight="1">
      <c r="A405" s="50" t="s">
        <v>703</v>
      </c>
      <c r="B405" s="305">
        <v>227</v>
      </c>
    </row>
    <row r="406" spans="1:2" s="25" customFormat="1" ht="16.5" customHeight="1">
      <c r="A406" s="50" t="s">
        <v>704</v>
      </c>
      <c r="B406" s="305">
        <v>875</v>
      </c>
    </row>
    <row r="407" spans="1:2" s="25" customFormat="1" ht="16.5" customHeight="1">
      <c r="A407" s="50" t="s">
        <v>705</v>
      </c>
      <c r="B407" s="305">
        <v>945</v>
      </c>
    </row>
    <row r="408" spans="1:2" s="25" customFormat="1" ht="16.5" customHeight="1">
      <c r="A408" s="50" t="s">
        <v>706</v>
      </c>
      <c r="B408" s="305">
        <v>1618</v>
      </c>
    </row>
    <row r="409" spans="1:2" s="25" customFormat="1" ht="16.5" customHeight="1">
      <c r="A409" s="50" t="s">
        <v>707</v>
      </c>
      <c r="B409" s="305">
        <v>1618</v>
      </c>
    </row>
    <row r="410" spans="1:2" s="25" customFormat="1" ht="16.5" customHeight="1">
      <c r="A410" s="52" t="s">
        <v>708</v>
      </c>
      <c r="B410" s="306">
        <v>934</v>
      </c>
    </row>
    <row r="411" spans="1:2" s="25" customFormat="1" ht="16.5" customHeight="1">
      <c r="A411" s="50" t="s">
        <v>709</v>
      </c>
      <c r="B411" s="305">
        <v>934</v>
      </c>
    </row>
    <row r="412" spans="1:2" s="25" customFormat="1" ht="16.5" customHeight="1">
      <c r="A412" s="50" t="s">
        <v>710</v>
      </c>
      <c r="B412" s="305">
        <v>323</v>
      </c>
    </row>
    <row r="413" spans="1:2" s="25" customFormat="1" ht="16.5" customHeight="1">
      <c r="A413" s="50" t="s">
        <v>711</v>
      </c>
      <c r="B413" s="305">
        <v>323</v>
      </c>
    </row>
    <row r="414" spans="1:2" s="25" customFormat="1" ht="16.5" customHeight="1">
      <c r="A414" s="50" t="s">
        <v>712</v>
      </c>
      <c r="B414" s="305">
        <v>1316</v>
      </c>
    </row>
    <row r="415" spans="1:2" s="25" customFormat="1" ht="16.5" customHeight="1">
      <c r="A415" s="50" t="s">
        <v>713</v>
      </c>
      <c r="B415" s="305">
        <v>1316</v>
      </c>
    </row>
    <row r="416" spans="1:2" s="25" customFormat="1" ht="16.5" customHeight="1">
      <c r="A416" s="50" t="s">
        <v>714</v>
      </c>
      <c r="B416" s="305">
        <v>22003</v>
      </c>
    </row>
    <row r="417" spans="1:2" s="25" customFormat="1" ht="16.5" customHeight="1">
      <c r="A417" s="50" t="s">
        <v>715</v>
      </c>
      <c r="B417" s="305">
        <v>5805</v>
      </c>
    </row>
    <row r="418" spans="1:2" s="25" customFormat="1" ht="16.5" customHeight="1">
      <c r="A418" s="50" t="s">
        <v>397</v>
      </c>
      <c r="B418" s="305">
        <v>1367</v>
      </c>
    </row>
    <row r="419" spans="1:2" s="25" customFormat="1" ht="16.5" customHeight="1">
      <c r="A419" s="50" t="s">
        <v>398</v>
      </c>
      <c r="B419" s="305">
        <v>185</v>
      </c>
    </row>
    <row r="420" spans="1:2" s="25" customFormat="1" ht="16.5" customHeight="1">
      <c r="A420" s="50" t="s">
        <v>410</v>
      </c>
      <c r="B420" s="305">
        <v>1682</v>
      </c>
    </row>
    <row r="421" spans="1:2" s="25" customFormat="1" ht="16.5" customHeight="1">
      <c r="A421" s="50" t="s">
        <v>716</v>
      </c>
      <c r="B421" s="305">
        <v>60</v>
      </c>
    </row>
    <row r="422" spans="1:2" s="25" customFormat="1" ht="16.5" customHeight="1">
      <c r="A422" s="50" t="s">
        <v>717</v>
      </c>
      <c r="B422" s="305">
        <v>1012</v>
      </c>
    </row>
    <row r="423" spans="1:2" s="25" customFormat="1" ht="16.5" customHeight="1">
      <c r="A423" s="50" t="s">
        <v>718</v>
      </c>
      <c r="B423" s="305">
        <v>521</v>
      </c>
    </row>
    <row r="424" spans="1:2" s="25" customFormat="1" ht="16.5" customHeight="1">
      <c r="A424" s="50" t="s">
        <v>719</v>
      </c>
      <c r="B424" s="305">
        <v>3</v>
      </c>
    </row>
    <row r="425" spans="1:2" s="25" customFormat="1" ht="16.5" customHeight="1">
      <c r="A425" s="50" t="s">
        <v>720</v>
      </c>
      <c r="B425" s="305">
        <v>199</v>
      </c>
    </row>
    <row r="426" spans="1:2" s="25" customFormat="1" ht="16.5" customHeight="1">
      <c r="A426" s="50" t="s">
        <v>721</v>
      </c>
      <c r="B426" s="305">
        <v>65</v>
      </c>
    </row>
    <row r="427" spans="1:2" s="25" customFormat="1" ht="16.5" customHeight="1">
      <c r="A427" s="50" t="s">
        <v>722</v>
      </c>
      <c r="B427" s="305">
        <v>711</v>
      </c>
    </row>
    <row r="428" spans="1:2" s="25" customFormat="1" ht="16.5" customHeight="1">
      <c r="A428" s="50" t="s">
        <v>723</v>
      </c>
      <c r="B428" s="305">
        <v>1888</v>
      </c>
    </row>
    <row r="429" spans="1:2" s="25" customFormat="1" ht="16.5" customHeight="1">
      <c r="A429" s="313" t="s">
        <v>397</v>
      </c>
      <c r="B429" s="310">
        <v>517</v>
      </c>
    </row>
    <row r="430" spans="1:2" s="25" customFormat="1" ht="16.5" customHeight="1">
      <c r="A430" s="314" t="s">
        <v>398</v>
      </c>
      <c r="B430" s="304">
        <v>75</v>
      </c>
    </row>
    <row r="431" spans="1:2" s="25" customFormat="1" ht="16.5" customHeight="1">
      <c r="A431" s="50" t="s">
        <v>724</v>
      </c>
      <c r="B431" s="305">
        <v>940</v>
      </c>
    </row>
    <row r="432" spans="1:2" s="25" customFormat="1" ht="16.5" customHeight="1">
      <c r="A432" s="50" t="s">
        <v>725</v>
      </c>
      <c r="B432" s="305">
        <v>60</v>
      </c>
    </row>
    <row r="433" spans="1:2" s="25" customFormat="1" ht="16.5" customHeight="1">
      <c r="A433" s="50" t="s">
        <v>726</v>
      </c>
      <c r="B433" s="305">
        <v>9</v>
      </c>
    </row>
    <row r="434" spans="1:2" s="25" customFormat="1" ht="16.5" customHeight="1">
      <c r="A434" s="50" t="s">
        <v>727</v>
      </c>
      <c r="B434" s="305">
        <v>20</v>
      </c>
    </row>
    <row r="435" spans="1:2" s="25" customFormat="1" ht="16.5" customHeight="1">
      <c r="A435" s="50" t="s">
        <v>728</v>
      </c>
      <c r="B435" s="305">
        <v>210</v>
      </c>
    </row>
    <row r="436" spans="1:2" s="25" customFormat="1" ht="16.5" customHeight="1">
      <c r="A436" s="50" t="s">
        <v>729</v>
      </c>
      <c r="B436" s="305">
        <v>57</v>
      </c>
    </row>
    <row r="437" spans="1:2" s="25" customFormat="1" ht="16.5" customHeight="1">
      <c r="A437" s="50" t="s">
        <v>730</v>
      </c>
      <c r="B437" s="305">
        <v>12394</v>
      </c>
    </row>
    <row r="438" spans="1:2" s="25" customFormat="1" ht="16.5" customHeight="1">
      <c r="A438" s="50" t="s">
        <v>397</v>
      </c>
      <c r="B438" s="305">
        <v>829</v>
      </c>
    </row>
    <row r="439" spans="1:2" s="25" customFormat="1" ht="16.5" customHeight="1">
      <c r="A439" s="50" t="s">
        <v>398</v>
      </c>
      <c r="B439" s="305">
        <v>189</v>
      </c>
    </row>
    <row r="440" spans="1:2" s="25" customFormat="1" ht="16.5" customHeight="1">
      <c r="A440" s="50" t="s">
        <v>731</v>
      </c>
      <c r="B440" s="305">
        <v>2336</v>
      </c>
    </row>
    <row r="441" spans="1:2" s="25" customFormat="1" ht="16.5" customHeight="1">
      <c r="A441" s="50" t="s">
        <v>732</v>
      </c>
      <c r="B441" s="305">
        <v>7043</v>
      </c>
    </row>
    <row r="442" spans="1:2" s="25" customFormat="1" ht="16.5" customHeight="1">
      <c r="A442" s="50" t="s">
        <v>733</v>
      </c>
      <c r="B442" s="305">
        <v>1000</v>
      </c>
    </row>
    <row r="443" spans="1:2" s="25" customFormat="1" ht="16.5" customHeight="1">
      <c r="A443" s="50" t="s">
        <v>734</v>
      </c>
      <c r="B443" s="305">
        <v>40</v>
      </c>
    </row>
    <row r="444" spans="1:2" s="25" customFormat="1" ht="16.5" customHeight="1">
      <c r="A444" s="50" t="s">
        <v>735</v>
      </c>
      <c r="B444" s="305">
        <v>458</v>
      </c>
    </row>
    <row r="445" spans="1:2" s="25" customFormat="1" ht="16.5" customHeight="1">
      <c r="A445" s="50" t="s">
        <v>736</v>
      </c>
      <c r="B445" s="305">
        <v>25</v>
      </c>
    </row>
    <row r="446" spans="1:2" s="25" customFormat="1" ht="16.5" customHeight="1">
      <c r="A446" s="50" t="s">
        <v>737</v>
      </c>
      <c r="B446" s="305">
        <v>325</v>
      </c>
    </row>
    <row r="447" spans="1:2" s="25" customFormat="1" ht="16.5" customHeight="1">
      <c r="A447" s="52" t="s">
        <v>738</v>
      </c>
      <c r="B447" s="306">
        <v>20</v>
      </c>
    </row>
    <row r="448" spans="1:2" s="25" customFormat="1" ht="16.5" customHeight="1">
      <c r="A448" s="50" t="s">
        <v>739</v>
      </c>
      <c r="B448" s="305">
        <v>20</v>
      </c>
    </row>
    <row r="449" spans="1:2" s="25" customFormat="1" ht="16.5" customHeight="1">
      <c r="A449" s="50" t="s">
        <v>740</v>
      </c>
      <c r="B449" s="305">
        <v>77</v>
      </c>
    </row>
    <row r="450" spans="1:2" s="25" customFormat="1" ht="16.5" customHeight="1">
      <c r="A450" s="50" t="s">
        <v>741</v>
      </c>
      <c r="B450" s="305">
        <v>2</v>
      </c>
    </row>
    <row r="451" spans="1:2" s="25" customFormat="1" ht="16.5" customHeight="1">
      <c r="A451" s="50" t="s">
        <v>742</v>
      </c>
      <c r="B451" s="305">
        <v>30</v>
      </c>
    </row>
    <row r="452" spans="1:2" s="25" customFormat="1" ht="16.5" customHeight="1">
      <c r="A452" s="50" t="s">
        <v>743</v>
      </c>
      <c r="B452" s="305">
        <v>7</v>
      </c>
    </row>
    <row r="453" spans="1:2" s="25" customFormat="1" ht="16.5" customHeight="1">
      <c r="A453" s="50" t="s">
        <v>398</v>
      </c>
      <c r="B453" s="305">
        <v>7</v>
      </c>
    </row>
    <row r="454" spans="1:2" s="25" customFormat="1" ht="16.5" customHeight="1">
      <c r="A454" s="50" t="s">
        <v>744</v>
      </c>
      <c r="B454" s="305">
        <v>1234</v>
      </c>
    </row>
    <row r="455" spans="1:2" s="25" customFormat="1" ht="16.5" customHeight="1">
      <c r="A455" s="50" t="s">
        <v>397</v>
      </c>
      <c r="B455" s="305">
        <v>23</v>
      </c>
    </row>
    <row r="456" spans="1:2" s="25" customFormat="1" ht="16.5" customHeight="1">
      <c r="A456" s="50" t="s">
        <v>398</v>
      </c>
      <c r="B456" s="305">
        <v>55</v>
      </c>
    </row>
    <row r="457" spans="1:2" s="25" customFormat="1" ht="16.5" customHeight="1">
      <c r="A457" s="50" t="s">
        <v>745</v>
      </c>
      <c r="B457" s="305">
        <v>1156</v>
      </c>
    </row>
    <row r="458" spans="1:2" s="25" customFormat="1" ht="16.5" customHeight="1">
      <c r="A458" s="50" t="s">
        <v>746</v>
      </c>
      <c r="B458" s="305">
        <v>232</v>
      </c>
    </row>
    <row r="459" spans="1:2" s="25" customFormat="1" ht="16.5" customHeight="1">
      <c r="A459" s="50" t="s">
        <v>561</v>
      </c>
      <c r="B459" s="305">
        <v>202</v>
      </c>
    </row>
    <row r="460" spans="1:2" s="25" customFormat="1" ht="16.5" customHeight="1">
      <c r="A460" s="50" t="s">
        <v>747</v>
      </c>
      <c r="B460" s="305">
        <v>30</v>
      </c>
    </row>
    <row r="461" spans="1:2" s="25" customFormat="1" ht="16.5" customHeight="1">
      <c r="A461" s="50" t="s">
        <v>748</v>
      </c>
      <c r="B461" s="305">
        <v>481</v>
      </c>
    </row>
    <row r="462" spans="1:2" s="25" customFormat="1" ht="16.5" customHeight="1">
      <c r="A462" s="50" t="s">
        <v>749</v>
      </c>
      <c r="B462" s="305">
        <v>481</v>
      </c>
    </row>
    <row r="463" spans="1:2" s="25" customFormat="1" ht="16.5" customHeight="1">
      <c r="A463" s="50" t="s">
        <v>750</v>
      </c>
      <c r="B463" s="305">
        <v>-38</v>
      </c>
    </row>
    <row r="464" spans="1:2" s="25" customFormat="1" ht="16.5" customHeight="1">
      <c r="A464" s="50" t="s">
        <v>751</v>
      </c>
      <c r="B464" s="305">
        <v>-38</v>
      </c>
    </row>
    <row r="465" spans="1:2" s="25" customFormat="1" ht="16.5" customHeight="1">
      <c r="A465" s="50" t="s">
        <v>752</v>
      </c>
      <c r="B465" s="305">
        <v>32629</v>
      </c>
    </row>
    <row r="466" spans="1:2" s="25" customFormat="1" ht="16.5" customHeight="1">
      <c r="A466" s="50" t="s">
        <v>753</v>
      </c>
      <c r="B466" s="305">
        <v>23659</v>
      </c>
    </row>
    <row r="467" spans="1:2" s="25" customFormat="1" ht="16.5" customHeight="1">
      <c r="A467" s="50" t="s">
        <v>397</v>
      </c>
      <c r="B467" s="305">
        <v>1452</v>
      </c>
    </row>
    <row r="468" spans="1:2" s="25" customFormat="1" ht="16.5" customHeight="1">
      <c r="A468" s="313" t="s">
        <v>398</v>
      </c>
      <c r="B468" s="310">
        <v>4091</v>
      </c>
    </row>
    <row r="469" spans="1:2" s="25" customFormat="1" ht="16.5" customHeight="1">
      <c r="A469" s="314" t="s">
        <v>754</v>
      </c>
      <c r="B469" s="304">
        <v>500</v>
      </c>
    </row>
    <row r="470" spans="1:2" s="25" customFormat="1" ht="16.5" customHeight="1">
      <c r="A470" s="50" t="s">
        <v>755</v>
      </c>
      <c r="B470" s="305">
        <v>8908</v>
      </c>
    </row>
    <row r="471" spans="1:2" s="25" customFormat="1" ht="16.5" customHeight="1">
      <c r="A471" s="50" t="s">
        <v>756</v>
      </c>
      <c r="B471" s="305">
        <v>5</v>
      </c>
    </row>
    <row r="472" spans="1:2" s="25" customFormat="1" ht="16.5" customHeight="1">
      <c r="A472" s="50" t="s">
        <v>757</v>
      </c>
      <c r="B472" s="305">
        <v>62</v>
      </c>
    </row>
    <row r="473" spans="1:2" s="25" customFormat="1" ht="16.5" customHeight="1">
      <c r="A473" s="50" t="s">
        <v>758</v>
      </c>
      <c r="B473" s="305">
        <v>190</v>
      </c>
    </row>
    <row r="474" spans="1:2" s="25" customFormat="1" ht="16.5" customHeight="1">
      <c r="A474" s="50" t="s">
        <v>759</v>
      </c>
      <c r="B474" s="305">
        <v>8451</v>
      </c>
    </row>
    <row r="475" spans="1:2" s="25" customFormat="1" ht="16.5" customHeight="1">
      <c r="A475" s="50" t="s">
        <v>760</v>
      </c>
      <c r="B475" s="305">
        <v>1797</v>
      </c>
    </row>
    <row r="476" spans="1:2" s="25" customFormat="1" ht="16.5" customHeight="1">
      <c r="A476" s="50" t="s">
        <v>398</v>
      </c>
      <c r="B476" s="305">
        <v>160</v>
      </c>
    </row>
    <row r="477" spans="1:2" s="25" customFormat="1" ht="16.5" customHeight="1">
      <c r="A477" s="50" t="s">
        <v>761</v>
      </c>
      <c r="B477" s="305">
        <v>1637</v>
      </c>
    </row>
    <row r="478" spans="1:2" s="25" customFormat="1" ht="16.5" customHeight="1">
      <c r="A478" s="50" t="s">
        <v>762</v>
      </c>
      <c r="B478" s="305">
        <v>1615</v>
      </c>
    </row>
    <row r="479" spans="1:2" s="25" customFormat="1" ht="16.5" customHeight="1">
      <c r="A479" s="50" t="s">
        <v>763</v>
      </c>
      <c r="B479" s="305">
        <v>1443</v>
      </c>
    </row>
    <row r="480" spans="1:2" s="25" customFormat="1" ht="16.5" customHeight="1">
      <c r="A480" s="50" t="s">
        <v>764</v>
      </c>
      <c r="B480" s="305">
        <v>172</v>
      </c>
    </row>
    <row r="481" spans="1:2" s="25" customFormat="1" ht="16.5" customHeight="1">
      <c r="A481" s="50" t="s">
        <v>765</v>
      </c>
      <c r="B481" s="305">
        <v>10</v>
      </c>
    </row>
    <row r="482" spans="1:2" s="25" customFormat="1" ht="16.5" customHeight="1">
      <c r="A482" s="50" t="s">
        <v>766</v>
      </c>
      <c r="B482" s="305">
        <v>10</v>
      </c>
    </row>
    <row r="483" spans="1:2" s="25" customFormat="1" ht="16.5" customHeight="1">
      <c r="A483" s="50" t="s">
        <v>767</v>
      </c>
      <c r="B483" s="305">
        <v>320</v>
      </c>
    </row>
    <row r="484" spans="1:2" s="25" customFormat="1" ht="16.5" customHeight="1">
      <c r="A484" s="52" t="s">
        <v>768</v>
      </c>
      <c r="B484" s="306">
        <v>320</v>
      </c>
    </row>
    <row r="485" spans="1:2" s="25" customFormat="1" ht="16.5" customHeight="1">
      <c r="A485" s="50" t="s">
        <v>769</v>
      </c>
      <c r="B485" s="305">
        <v>5228</v>
      </c>
    </row>
    <row r="486" spans="1:2" s="25" customFormat="1" ht="16.5" customHeight="1">
      <c r="A486" s="50" t="s">
        <v>770</v>
      </c>
      <c r="B486" s="305">
        <v>5028</v>
      </c>
    </row>
    <row r="487" spans="1:2" s="25" customFormat="1" ht="16.5" customHeight="1">
      <c r="A487" s="50" t="s">
        <v>771</v>
      </c>
      <c r="B487" s="305">
        <v>200</v>
      </c>
    </row>
    <row r="488" spans="1:2" s="25" customFormat="1" ht="16.5" customHeight="1">
      <c r="A488" s="50" t="s">
        <v>772</v>
      </c>
      <c r="B488" s="305">
        <v>5539</v>
      </c>
    </row>
    <row r="489" spans="1:2" s="25" customFormat="1" ht="16.5" customHeight="1">
      <c r="A489" s="50" t="s">
        <v>773</v>
      </c>
      <c r="B489" s="305">
        <v>511</v>
      </c>
    </row>
    <row r="490" spans="1:2" s="25" customFormat="1" ht="16.5" customHeight="1">
      <c r="A490" s="50" t="s">
        <v>397</v>
      </c>
      <c r="B490" s="305">
        <v>445</v>
      </c>
    </row>
    <row r="491" spans="1:2" s="25" customFormat="1" ht="16.5" customHeight="1">
      <c r="A491" s="50" t="s">
        <v>398</v>
      </c>
      <c r="B491" s="305">
        <v>66</v>
      </c>
    </row>
    <row r="492" spans="1:2" s="25" customFormat="1" ht="16.5" customHeight="1">
      <c r="A492" s="50" t="s">
        <v>774</v>
      </c>
      <c r="B492" s="305">
        <v>870</v>
      </c>
    </row>
    <row r="493" spans="1:2" s="25" customFormat="1" ht="16.5" customHeight="1">
      <c r="A493" s="50" t="s">
        <v>397</v>
      </c>
      <c r="B493" s="305">
        <v>580</v>
      </c>
    </row>
    <row r="494" spans="1:2" s="25" customFormat="1" ht="16.5" customHeight="1">
      <c r="A494" s="50" t="s">
        <v>398</v>
      </c>
      <c r="B494" s="305">
        <v>154</v>
      </c>
    </row>
    <row r="495" spans="1:2" s="25" customFormat="1" ht="16.5" customHeight="1">
      <c r="A495" s="50" t="s">
        <v>775</v>
      </c>
      <c r="B495" s="305">
        <v>60</v>
      </c>
    </row>
    <row r="496" spans="1:2" s="25" customFormat="1" ht="16.5" customHeight="1">
      <c r="A496" s="50" t="s">
        <v>776</v>
      </c>
      <c r="B496" s="305">
        <v>76</v>
      </c>
    </row>
    <row r="497" spans="1:2" s="25" customFormat="1" ht="16.5" customHeight="1">
      <c r="A497" s="50" t="s">
        <v>777</v>
      </c>
      <c r="B497" s="305">
        <v>2198</v>
      </c>
    </row>
    <row r="498" spans="1:2" s="25" customFormat="1" ht="16.5" customHeight="1">
      <c r="A498" s="50" t="s">
        <v>397</v>
      </c>
      <c r="B498" s="305">
        <v>765</v>
      </c>
    </row>
    <row r="499" spans="1:2" s="25" customFormat="1" ht="16.5" customHeight="1">
      <c r="A499" s="50" t="s">
        <v>398</v>
      </c>
      <c r="B499" s="305">
        <v>1202</v>
      </c>
    </row>
    <row r="500" spans="1:2" s="25" customFormat="1" ht="16.5" customHeight="1">
      <c r="A500" s="50" t="s">
        <v>778</v>
      </c>
      <c r="B500" s="305">
        <v>144</v>
      </c>
    </row>
    <row r="501" spans="1:2" s="25" customFormat="1" ht="16.5" customHeight="1">
      <c r="A501" s="50" t="s">
        <v>779</v>
      </c>
      <c r="B501" s="305">
        <v>87</v>
      </c>
    </row>
    <row r="502" spans="1:2" s="25" customFormat="1" ht="16.5" customHeight="1">
      <c r="A502" s="50" t="s">
        <v>780</v>
      </c>
      <c r="B502" s="305">
        <v>1071</v>
      </c>
    </row>
    <row r="503" spans="1:2" s="25" customFormat="1" ht="16.5" customHeight="1">
      <c r="A503" s="50" t="s">
        <v>397</v>
      </c>
      <c r="B503" s="305">
        <v>392</v>
      </c>
    </row>
    <row r="504" spans="1:2" s="25" customFormat="1" ht="16.5" customHeight="1">
      <c r="A504" s="50" t="s">
        <v>398</v>
      </c>
      <c r="B504" s="305">
        <v>47</v>
      </c>
    </row>
    <row r="505" spans="1:2" s="25" customFormat="1" ht="16.5" customHeight="1">
      <c r="A505" s="50" t="s">
        <v>781</v>
      </c>
      <c r="B505" s="305">
        <v>589</v>
      </c>
    </row>
    <row r="506" spans="1:2" s="25" customFormat="1" ht="16.5" customHeight="1">
      <c r="A506" s="50" t="s">
        <v>782</v>
      </c>
      <c r="B506" s="305">
        <v>11</v>
      </c>
    </row>
    <row r="507" spans="1:2" s="25" customFormat="1" ht="16.5" customHeight="1">
      <c r="A507" s="313" t="s">
        <v>783</v>
      </c>
      <c r="B507" s="310">
        <v>2</v>
      </c>
    </row>
    <row r="508" spans="1:2" s="25" customFormat="1" ht="16.5" customHeight="1">
      <c r="A508" s="314" t="s">
        <v>784</v>
      </c>
      <c r="B508" s="304">
        <v>30</v>
      </c>
    </row>
    <row r="509" spans="1:2" s="25" customFormat="1" ht="16.5" customHeight="1">
      <c r="A509" s="50" t="s">
        <v>785</v>
      </c>
      <c r="B509" s="305">
        <v>306</v>
      </c>
    </row>
    <row r="510" spans="1:2" s="25" customFormat="1" ht="16.5" customHeight="1">
      <c r="A510" s="50" t="s">
        <v>397</v>
      </c>
      <c r="B510" s="305">
        <v>191</v>
      </c>
    </row>
    <row r="511" spans="1:2" s="25" customFormat="1" ht="16.5" customHeight="1">
      <c r="A511" s="50" t="s">
        <v>398</v>
      </c>
      <c r="B511" s="305">
        <v>45</v>
      </c>
    </row>
    <row r="512" spans="1:2" s="25" customFormat="1" ht="16.5" customHeight="1">
      <c r="A512" s="50" t="s">
        <v>786</v>
      </c>
      <c r="B512" s="305">
        <v>70</v>
      </c>
    </row>
    <row r="513" spans="1:2" s="25" customFormat="1" ht="16.5" customHeight="1">
      <c r="A513" s="50" t="s">
        <v>787</v>
      </c>
      <c r="B513" s="305">
        <v>495</v>
      </c>
    </row>
    <row r="514" spans="1:2" s="25" customFormat="1" ht="16.5" customHeight="1">
      <c r="A514" s="50" t="s">
        <v>397</v>
      </c>
      <c r="B514" s="305">
        <v>183</v>
      </c>
    </row>
    <row r="515" spans="1:2" s="25" customFormat="1" ht="16.5" customHeight="1">
      <c r="A515" s="50" t="s">
        <v>398</v>
      </c>
      <c r="B515" s="305">
        <v>28</v>
      </c>
    </row>
    <row r="516" spans="1:2" s="25" customFormat="1" ht="16.5" customHeight="1">
      <c r="A516" s="50" t="s">
        <v>788</v>
      </c>
      <c r="B516" s="305">
        <v>284</v>
      </c>
    </row>
    <row r="517" spans="1:2" s="25" customFormat="1" ht="16.5" customHeight="1">
      <c r="A517" s="50" t="s">
        <v>789</v>
      </c>
      <c r="B517" s="305">
        <v>88</v>
      </c>
    </row>
    <row r="518" spans="1:2" s="25" customFormat="1" ht="16.5" customHeight="1">
      <c r="A518" s="50" t="s">
        <v>790</v>
      </c>
      <c r="B518" s="305">
        <v>80</v>
      </c>
    </row>
    <row r="519" spans="1:2" s="25" customFormat="1" ht="16.5" customHeight="1">
      <c r="A519" s="50" t="s">
        <v>791</v>
      </c>
      <c r="B519" s="305">
        <v>8</v>
      </c>
    </row>
    <row r="520" spans="1:2" s="25" customFormat="1" ht="16.5" customHeight="1">
      <c r="A520" s="50" t="s">
        <v>792</v>
      </c>
      <c r="B520" s="305">
        <v>2853</v>
      </c>
    </row>
    <row r="521" spans="1:2" s="25" customFormat="1" ht="16.5" customHeight="1">
      <c r="A521" s="52" t="s">
        <v>793</v>
      </c>
      <c r="B521" s="306">
        <v>519</v>
      </c>
    </row>
    <row r="522" spans="1:2" s="25" customFormat="1" ht="16.5" customHeight="1">
      <c r="A522" s="50" t="s">
        <v>397</v>
      </c>
      <c r="B522" s="305">
        <v>341</v>
      </c>
    </row>
    <row r="523" spans="1:2" s="25" customFormat="1" ht="16.5" customHeight="1">
      <c r="A523" s="50" t="s">
        <v>398</v>
      </c>
      <c r="B523" s="305">
        <v>20</v>
      </c>
    </row>
    <row r="524" spans="1:2" s="25" customFormat="1" ht="16.5" customHeight="1">
      <c r="A524" s="50" t="s">
        <v>794</v>
      </c>
      <c r="B524" s="305">
        <v>158</v>
      </c>
    </row>
    <row r="525" spans="1:2" s="25" customFormat="1" ht="16.5" customHeight="1">
      <c r="A525" s="50" t="s">
        <v>795</v>
      </c>
      <c r="B525" s="305">
        <v>2215</v>
      </c>
    </row>
    <row r="526" spans="1:2" s="25" customFormat="1" ht="16.5" customHeight="1">
      <c r="A526" s="50" t="s">
        <v>397</v>
      </c>
      <c r="B526" s="305">
        <v>550</v>
      </c>
    </row>
    <row r="527" spans="1:2" s="25" customFormat="1" ht="16.5" customHeight="1">
      <c r="A527" s="50" t="s">
        <v>398</v>
      </c>
      <c r="B527" s="305">
        <v>665</v>
      </c>
    </row>
    <row r="528" spans="1:2" s="25" customFormat="1" ht="16.5" customHeight="1">
      <c r="A528" s="50" t="s">
        <v>796</v>
      </c>
      <c r="B528" s="305">
        <v>1000</v>
      </c>
    </row>
    <row r="529" spans="1:2" s="25" customFormat="1" ht="16.5" customHeight="1">
      <c r="A529" s="50" t="s">
        <v>797</v>
      </c>
      <c r="B529" s="305">
        <v>89</v>
      </c>
    </row>
    <row r="530" spans="1:2" s="25" customFormat="1" ht="16.5" customHeight="1">
      <c r="A530" s="50" t="s">
        <v>798</v>
      </c>
      <c r="B530" s="305">
        <v>89</v>
      </c>
    </row>
    <row r="531" spans="1:2" s="25" customFormat="1" ht="16.5" customHeight="1">
      <c r="A531" s="50" t="s">
        <v>799</v>
      </c>
      <c r="B531" s="305">
        <v>30</v>
      </c>
    </row>
    <row r="532" spans="1:2" s="25" customFormat="1" ht="16.5" customHeight="1">
      <c r="A532" s="50" t="s">
        <v>800</v>
      </c>
      <c r="B532" s="305">
        <v>30</v>
      </c>
    </row>
    <row r="533" spans="1:2" s="25" customFormat="1" ht="16.5" customHeight="1">
      <c r="A533" s="50" t="s">
        <v>801</v>
      </c>
      <c r="B533" s="305">
        <v>225</v>
      </c>
    </row>
    <row r="534" spans="1:2" s="25" customFormat="1" ht="16.5" customHeight="1">
      <c r="A534" s="50" t="s">
        <v>802</v>
      </c>
      <c r="B534" s="305">
        <v>225</v>
      </c>
    </row>
    <row r="535" spans="1:2" s="25" customFormat="1" ht="16.5" customHeight="1">
      <c r="A535" s="50" t="s">
        <v>803</v>
      </c>
      <c r="B535" s="305">
        <v>225</v>
      </c>
    </row>
    <row r="536" spans="1:2" s="25" customFormat="1" ht="16.5" customHeight="1">
      <c r="A536" s="50" t="s">
        <v>804</v>
      </c>
      <c r="B536" s="305">
        <v>1212</v>
      </c>
    </row>
    <row r="537" spans="1:2" s="25" customFormat="1" ht="16.5" customHeight="1">
      <c r="A537" s="50" t="s">
        <v>805</v>
      </c>
      <c r="B537" s="305">
        <v>1212</v>
      </c>
    </row>
    <row r="538" spans="1:2" s="25" customFormat="1" ht="16.5" customHeight="1">
      <c r="A538" s="50" t="s">
        <v>806</v>
      </c>
      <c r="B538" s="305">
        <v>7809</v>
      </c>
    </row>
    <row r="539" spans="1:2" s="25" customFormat="1" ht="16.5" customHeight="1">
      <c r="A539" s="50" t="s">
        <v>807</v>
      </c>
      <c r="B539" s="305">
        <v>7309</v>
      </c>
    </row>
    <row r="540" spans="1:2" s="25" customFormat="1" ht="16.5" customHeight="1">
      <c r="A540" s="50" t="s">
        <v>397</v>
      </c>
      <c r="B540" s="305">
        <v>6175</v>
      </c>
    </row>
    <row r="541" spans="1:2" s="25" customFormat="1" ht="16.5" customHeight="1">
      <c r="A541" s="50" t="s">
        <v>398</v>
      </c>
      <c r="B541" s="305">
        <v>80</v>
      </c>
    </row>
    <row r="542" spans="1:2" s="25" customFormat="1" ht="16.5" customHeight="1">
      <c r="A542" s="50" t="s">
        <v>808</v>
      </c>
      <c r="B542" s="305">
        <v>400</v>
      </c>
    </row>
    <row r="543" spans="1:2" s="25" customFormat="1" ht="16.5" customHeight="1">
      <c r="A543" s="50" t="s">
        <v>809</v>
      </c>
      <c r="B543" s="305">
        <v>654</v>
      </c>
    </row>
    <row r="544" spans="1:2" s="25" customFormat="1" ht="16.5" customHeight="1">
      <c r="A544" s="50" t="s">
        <v>810</v>
      </c>
      <c r="B544" s="305">
        <v>3</v>
      </c>
    </row>
    <row r="545" spans="1:2" s="25" customFormat="1" ht="16.5" customHeight="1">
      <c r="A545" s="50" t="s">
        <v>811</v>
      </c>
      <c r="B545" s="305">
        <v>3</v>
      </c>
    </row>
    <row r="546" spans="1:2" s="25" customFormat="1" ht="16.5" customHeight="1">
      <c r="A546" s="313" t="s">
        <v>812</v>
      </c>
      <c r="B546" s="310">
        <v>50</v>
      </c>
    </row>
    <row r="547" spans="1:2" s="25" customFormat="1" ht="16.5" customHeight="1">
      <c r="A547" s="314" t="s">
        <v>813</v>
      </c>
      <c r="B547" s="304">
        <v>50</v>
      </c>
    </row>
    <row r="548" spans="1:2" s="25" customFormat="1" ht="16.5" customHeight="1">
      <c r="A548" s="50" t="s">
        <v>814</v>
      </c>
      <c r="B548" s="305">
        <v>147</v>
      </c>
    </row>
    <row r="549" spans="1:2" s="25" customFormat="1" ht="16.5" customHeight="1">
      <c r="A549" s="50" t="s">
        <v>397</v>
      </c>
      <c r="B549" s="305">
        <v>103</v>
      </c>
    </row>
    <row r="550" spans="1:2" s="25" customFormat="1" ht="16.5" customHeight="1">
      <c r="A550" s="50" t="s">
        <v>398</v>
      </c>
      <c r="B550" s="305">
        <v>27</v>
      </c>
    </row>
    <row r="551" spans="1:2" s="25" customFormat="1" ht="16.5" customHeight="1">
      <c r="A551" s="50" t="s">
        <v>815</v>
      </c>
      <c r="B551" s="305">
        <v>2</v>
      </c>
    </row>
    <row r="552" spans="1:2" s="25" customFormat="1" ht="16.5" customHeight="1">
      <c r="A552" s="50" t="s">
        <v>816</v>
      </c>
      <c r="B552" s="305">
        <v>3</v>
      </c>
    </row>
    <row r="553" spans="1:2" s="25" customFormat="1" ht="16.5" customHeight="1">
      <c r="A553" s="50" t="s">
        <v>817</v>
      </c>
      <c r="B553" s="305">
        <v>12</v>
      </c>
    </row>
    <row r="554" spans="1:2" s="25" customFormat="1" ht="16.5" customHeight="1">
      <c r="A554" s="50" t="s">
        <v>818</v>
      </c>
      <c r="B554" s="305">
        <v>300</v>
      </c>
    </row>
    <row r="555" spans="1:2" s="25" customFormat="1" ht="16.5" customHeight="1">
      <c r="A555" s="50" t="s">
        <v>397</v>
      </c>
      <c r="B555" s="305">
        <v>240</v>
      </c>
    </row>
    <row r="556" spans="1:2" s="25" customFormat="1" ht="16.5" customHeight="1">
      <c r="A556" s="50" t="s">
        <v>398</v>
      </c>
      <c r="B556" s="305">
        <v>60</v>
      </c>
    </row>
    <row r="557" spans="1:2" s="25" customFormat="1" ht="16.5" customHeight="1">
      <c r="A557" s="50" t="s">
        <v>819</v>
      </c>
      <c r="B557" s="305">
        <v>18136</v>
      </c>
    </row>
    <row r="558" spans="1:2" s="25" customFormat="1" ht="16.5" customHeight="1">
      <c r="A558" s="52" t="s">
        <v>820</v>
      </c>
      <c r="B558" s="306">
        <v>3207</v>
      </c>
    </row>
    <row r="559" spans="1:2" s="25" customFormat="1" ht="16.5" customHeight="1">
      <c r="A559" s="50" t="s">
        <v>821</v>
      </c>
      <c r="B559" s="305">
        <v>2733</v>
      </c>
    </row>
    <row r="560" spans="1:2" s="25" customFormat="1" ht="16.5" customHeight="1">
      <c r="A560" s="50" t="s">
        <v>822</v>
      </c>
      <c r="B560" s="305">
        <v>474</v>
      </c>
    </row>
    <row r="561" spans="1:2" s="25" customFormat="1" ht="16.5" customHeight="1">
      <c r="A561" s="50" t="s">
        <v>823</v>
      </c>
      <c r="B561" s="305">
        <v>13016</v>
      </c>
    </row>
    <row r="562" spans="1:2" s="25" customFormat="1" ht="16.5" customHeight="1">
      <c r="A562" s="50" t="s">
        <v>824</v>
      </c>
      <c r="B562" s="305">
        <v>12982</v>
      </c>
    </row>
    <row r="563" spans="1:2" s="25" customFormat="1" ht="16.5" customHeight="1">
      <c r="A563" s="50" t="s">
        <v>825</v>
      </c>
      <c r="B563" s="305">
        <v>34</v>
      </c>
    </row>
    <row r="564" spans="1:2" s="25" customFormat="1" ht="16.5" customHeight="1">
      <c r="A564" s="50" t="s">
        <v>826</v>
      </c>
      <c r="B564" s="305">
        <v>1913</v>
      </c>
    </row>
    <row r="565" spans="1:2" s="25" customFormat="1" ht="16.5" customHeight="1">
      <c r="A565" s="50" t="s">
        <v>827</v>
      </c>
      <c r="B565" s="305">
        <v>1905</v>
      </c>
    </row>
    <row r="566" spans="1:2" s="25" customFormat="1" ht="16.5" customHeight="1">
      <c r="A566" s="50" t="s">
        <v>828</v>
      </c>
      <c r="B566" s="305">
        <v>8</v>
      </c>
    </row>
    <row r="567" spans="1:2" s="25" customFormat="1" ht="16.5" customHeight="1">
      <c r="A567" s="50" t="s">
        <v>829</v>
      </c>
      <c r="B567" s="305">
        <v>814</v>
      </c>
    </row>
    <row r="568" spans="1:2" s="25" customFormat="1" ht="16.5" customHeight="1">
      <c r="A568" s="50" t="s">
        <v>830</v>
      </c>
      <c r="B568" s="305">
        <v>814</v>
      </c>
    </row>
    <row r="569" spans="1:2" s="25" customFormat="1" ht="16.5" customHeight="1">
      <c r="A569" s="50" t="s">
        <v>397</v>
      </c>
      <c r="B569" s="305">
        <v>213</v>
      </c>
    </row>
    <row r="570" spans="1:2" s="25" customFormat="1" ht="16.5" customHeight="1">
      <c r="A570" s="50" t="s">
        <v>398</v>
      </c>
      <c r="B570" s="305">
        <v>37</v>
      </c>
    </row>
    <row r="571" spans="1:2" s="25" customFormat="1" ht="16.5" customHeight="1">
      <c r="A571" s="50" t="s">
        <v>410</v>
      </c>
      <c r="B571" s="305">
        <v>174</v>
      </c>
    </row>
    <row r="572" spans="1:2" s="25" customFormat="1" ht="16.5" customHeight="1">
      <c r="A572" s="50" t="s">
        <v>831</v>
      </c>
      <c r="B572" s="305">
        <v>390</v>
      </c>
    </row>
    <row r="573" spans="1:2" s="25" customFormat="1" ht="16.5" customHeight="1">
      <c r="A573" s="50" t="s">
        <v>832</v>
      </c>
      <c r="B573" s="305">
        <v>392</v>
      </c>
    </row>
    <row r="574" spans="1:2" s="25" customFormat="1" ht="16.5" customHeight="1">
      <c r="A574" s="50" t="s">
        <v>833</v>
      </c>
      <c r="B574" s="305">
        <v>392</v>
      </c>
    </row>
    <row r="575" spans="1:2" s="25" customFormat="1" ht="16.5" customHeight="1">
      <c r="A575" s="50" t="s">
        <v>834</v>
      </c>
      <c r="B575" s="305">
        <v>392</v>
      </c>
    </row>
    <row r="576" spans="1:2" s="25" customFormat="1" ht="16.5" customHeight="1">
      <c r="A576" s="50" t="s">
        <v>835</v>
      </c>
      <c r="B576" s="305">
        <v>12938</v>
      </c>
    </row>
    <row r="577" spans="1:2" s="25" customFormat="1" ht="16.5" customHeight="1">
      <c r="A577" s="50" t="s">
        <v>836</v>
      </c>
      <c r="B577" s="305">
        <v>12938</v>
      </c>
    </row>
    <row r="578" spans="1:2" s="25" customFormat="1" ht="16.5" customHeight="1">
      <c r="A578" s="50" t="s">
        <v>837</v>
      </c>
      <c r="B578" s="305">
        <v>12938</v>
      </c>
    </row>
    <row r="579" spans="1:2" s="25" customFormat="1" ht="14.25">
      <c r="A579" s="315"/>
      <c r="B579" s="316"/>
    </row>
    <row r="580" spans="1:2" s="25" customFormat="1" ht="14.25">
      <c r="A580" s="317" t="s">
        <v>231</v>
      </c>
      <c r="B580" s="306">
        <f>385658-846-110</f>
        <v>384702</v>
      </c>
    </row>
    <row r="581" s="25" customFormat="1" ht="14.25">
      <c r="B581" s="26"/>
    </row>
    <row r="582" s="25" customFormat="1" ht="14.25">
      <c r="B582" s="26"/>
    </row>
    <row r="583" s="25" customFormat="1" ht="14.25">
      <c r="B583" s="26"/>
    </row>
    <row r="584" s="25" customFormat="1" ht="14.25">
      <c r="B584" s="26"/>
    </row>
    <row r="585" s="25" customFormat="1" ht="14.25">
      <c r="B585" s="26"/>
    </row>
    <row r="586" s="25" customFormat="1" ht="14.25">
      <c r="B586" s="26"/>
    </row>
    <row r="587" s="25" customFormat="1" ht="14.25">
      <c r="B587" s="26"/>
    </row>
    <row r="588" s="25" customFormat="1" ht="14.25">
      <c r="B588" s="26"/>
    </row>
    <row r="589" s="25" customFormat="1" ht="14.25">
      <c r="B589" s="26"/>
    </row>
    <row r="590" s="25" customFormat="1" ht="14.25">
      <c r="B590" s="26"/>
    </row>
    <row r="591" s="25" customFormat="1" ht="14.25">
      <c r="B591" s="26"/>
    </row>
    <row r="592" s="25" customFormat="1" ht="14.25">
      <c r="B592" s="26"/>
    </row>
    <row r="593" s="25" customFormat="1" ht="14.25">
      <c r="B593" s="26"/>
    </row>
    <row r="594" s="25" customFormat="1" ht="14.25">
      <c r="B594" s="26"/>
    </row>
    <row r="595" s="25" customFormat="1" ht="14.25">
      <c r="B595" s="26"/>
    </row>
    <row r="596" s="25" customFormat="1" ht="14.25">
      <c r="B596" s="26"/>
    </row>
    <row r="597" s="25" customFormat="1" ht="14.25">
      <c r="B597" s="26"/>
    </row>
    <row r="598" s="25" customFormat="1" ht="14.25">
      <c r="B598" s="26"/>
    </row>
  </sheetData>
  <sheetProtection/>
  <mergeCells count="1">
    <mergeCell ref="A2:B2"/>
  </mergeCells>
  <printOptions horizontalCentered="1"/>
  <pageMargins left="0.75" right="0.75" top="0.75" bottom="0.9" header="0.51" footer="0.51"/>
  <pageSetup horizontalDpi="600" verticalDpi="600" orientation="portrait" paperSize="9"/>
  <rowBreaks count="14" manualBreakCount="14">
    <brk id="40" max="255" man="1"/>
    <brk id="77" max="255" man="1"/>
    <brk id="114" max="255" man="1"/>
    <brk id="151" max="255" man="1"/>
    <brk id="188" max="255" man="1"/>
    <brk id="225" max="255" man="1"/>
    <brk id="262" max="255" man="1"/>
    <brk id="299" max="255" man="1"/>
    <brk id="336" max="255" man="1"/>
    <brk id="373" max="255" man="1"/>
    <brk id="410" max="255" man="1"/>
    <brk id="447" max="255" man="1"/>
    <brk id="484" max="255" man="1"/>
    <brk id="521" max="255" man="1"/>
  </row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8"/>
  <sheetViews>
    <sheetView showZeros="0" zoomScale="55" zoomScaleNormal="55" zoomScaleSheetLayoutView="100" workbookViewId="0" topLeftCell="A1">
      <selection activeCell="A4" sqref="A4:IV28"/>
    </sheetView>
  </sheetViews>
  <sheetFormatPr defaultColWidth="9.00390625" defaultRowHeight="14.25"/>
  <cols>
    <col min="1" max="1" width="30.50390625" style="25" customWidth="1"/>
    <col min="2" max="2" width="8.50390625" style="26" customWidth="1"/>
    <col min="3" max="3" width="8.375" style="25" customWidth="1"/>
    <col min="4" max="5" width="7.00390625" style="25" customWidth="1"/>
    <col min="6" max="6" width="8.25390625" style="25" customWidth="1"/>
    <col min="7" max="7" width="7.00390625" style="25" customWidth="1"/>
    <col min="8" max="8" width="8.25390625" style="25" customWidth="1"/>
    <col min="9" max="9" width="7.00390625" style="25" customWidth="1"/>
    <col min="10" max="255" width="9.00390625" style="25" customWidth="1"/>
    <col min="256" max="256" width="9.00390625" style="1" customWidth="1"/>
  </cols>
  <sheetData>
    <row r="1" spans="1:9" s="25" customFormat="1" ht="18" customHeight="1">
      <c r="A1" s="2" t="s">
        <v>838</v>
      </c>
      <c r="B1" s="297"/>
      <c r="C1" s="2"/>
      <c r="D1" s="2"/>
      <c r="E1" s="2"/>
      <c r="F1" s="2"/>
      <c r="G1" s="2"/>
      <c r="H1" s="2"/>
      <c r="I1" s="2"/>
    </row>
    <row r="2" spans="1:9" s="24" customFormat="1" ht="21">
      <c r="A2" s="4" t="s">
        <v>839</v>
      </c>
      <c r="B2" s="4"/>
      <c r="C2" s="4"/>
      <c r="D2" s="4"/>
      <c r="E2" s="4"/>
      <c r="F2" s="4"/>
      <c r="G2" s="4"/>
      <c r="H2" s="4"/>
      <c r="I2" s="4"/>
    </row>
    <row r="3" spans="2:9" s="25" customFormat="1" ht="20.25" customHeight="1">
      <c r="B3" s="26"/>
      <c r="I3" s="5" t="s">
        <v>3</v>
      </c>
    </row>
    <row r="4" spans="1:9" s="25" customFormat="1" ht="27.75" customHeight="1">
      <c r="A4" s="68" t="s">
        <v>840</v>
      </c>
      <c r="B4" s="68" t="s">
        <v>841</v>
      </c>
      <c r="C4" s="68" t="s">
        <v>842</v>
      </c>
      <c r="D4" s="33" t="s">
        <v>843</v>
      </c>
      <c r="E4" s="33" t="s">
        <v>844</v>
      </c>
      <c r="F4" s="33" t="s">
        <v>845</v>
      </c>
      <c r="G4" s="33" t="s">
        <v>846</v>
      </c>
      <c r="H4" s="33" t="s">
        <v>847</v>
      </c>
      <c r="I4" s="296" t="s">
        <v>848</v>
      </c>
    </row>
    <row r="5" spans="1:9" s="25" customFormat="1" ht="27.75" customHeight="1">
      <c r="A5" s="298" t="s">
        <v>849</v>
      </c>
      <c r="B5" s="68">
        <f>SUM(B6:B11)</f>
        <v>99900</v>
      </c>
      <c r="C5" s="68">
        <f aca="true" t="shared" si="0" ref="C5:I5">SUM(C6:C11)</f>
        <v>15617</v>
      </c>
      <c r="D5" s="68">
        <f t="shared" si="0"/>
        <v>25362</v>
      </c>
      <c r="E5" s="68">
        <f t="shared" si="0"/>
        <v>7061</v>
      </c>
      <c r="F5" s="68">
        <f t="shared" si="0"/>
        <v>9487</v>
      </c>
      <c r="G5" s="68">
        <f t="shared" si="0"/>
        <v>8478</v>
      </c>
      <c r="H5" s="68">
        <f t="shared" si="0"/>
        <v>28959</v>
      </c>
      <c r="I5" s="68">
        <f t="shared" si="0"/>
        <v>4936</v>
      </c>
    </row>
    <row r="6" spans="1:9" s="25" customFormat="1" ht="27.75" customHeight="1">
      <c r="A6" s="299" t="s">
        <v>850</v>
      </c>
      <c r="B6" s="36">
        <f aca="true" t="shared" si="1" ref="B6:B11">SUM(C6:I6)</f>
        <v>13191</v>
      </c>
      <c r="C6" s="56">
        <v>2333</v>
      </c>
      <c r="D6" s="36">
        <v>1656</v>
      </c>
      <c r="E6" s="36">
        <v>1636</v>
      </c>
      <c r="F6" s="36">
        <v>1060</v>
      </c>
      <c r="G6" s="36">
        <v>1305</v>
      </c>
      <c r="H6" s="36">
        <v>4737</v>
      </c>
      <c r="I6" s="36">
        <v>464</v>
      </c>
    </row>
    <row r="7" spans="1:9" s="25" customFormat="1" ht="27.75" customHeight="1">
      <c r="A7" s="299" t="s">
        <v>851</v>
      </c>
      <c r="B7" s="36">
        <f t="shared" si="1"/>
        <v>2277</v>
      </c>
      <c r="C7" s="56">
        <v>324</v>
      </c>
      <c r="D7" s="36">
        <v>240</v>
      </c>
      <c r="E7" s="36">
        <v>265</v>
      </c>
      <c r="F7" s="36">
        <v>308</v>
      </c>
      <c r="G7" s="36">
        <v>204</v>
      </c>
      <c r="H7" s="36">
        <v>936</v>
      </c>
      <c r="I7" s="36">
        <v>0</v>
      </c>
    </row>
    <row r="8" spans="1:9" s="25" customFormat="1" ht="27.75" customHeight="1">
      <c r="A8" s="299" t="s">
        <v>852</v>
      </c>
      <c r="B8" s="36">
        <f t="shared" si="1"/>
        <v>38773</v>
      </c>
      <c r="C8" s="56">
        <v>6802</v>
      </c>
      <c r="D8" s="36">
        <v>5971</v>
      </c>
      <c r="E8" s="36">
        <v>3218</v>
      </c>
      <c r="F8" s="36">
        <v>2147</v>
      </c>
      <c r="G8" s="36">
        <v>3179</v>
      </c>
      <c r="H8" s="36">
        <v>16457</v>
      </c>
      <c r="I8" s="36">
        <v>999</v>
      </c>
    </row>
    <row r="9" spans="1:9" s="25" customFormat="1" ht="27.75" customHeight="1">
      <c r="A9" s="299" t="s">
        <v>853</v>
      </c>
      <c r="B9" s="36">
        <f t="shared" si="1"/>
        <v>5165</v>
      </c>
      <c r="C9" s="56">
        <v>905</v>
      </c>
      <c r="D9" s="36">
        <v>794</v>
      </c>
      <c r="E9" s="36">
        <v>428</v>
      </c>
      <c r="F9" s="36">
        <v>286</v>
      </c>
      <c r="G9" s="36">
        <v>424</v>
      </c>
      <c r="H9" s="36">
        <v>2195</v>
      </c>
      <c r="I9" s="36">
        <v>133</v>
      </c>
    </row>
    <row r="10" spans="1:9" s="25" customFormat="1" ht="27.75" customHeight="1">
      <c r="A10" s="299" t="s">
        <v>854</v>
      </c>
      <c r="B10" s="36">
        <f t="shared" si="1"/>
        <v>36620</v>
      </c>
      <c r="C10" s="56">
        <v>4967</v>
      </c>
      <c r="D10" s="36">
        <v>16345</v>
      </c>
      <c r="E10" s="36">
        <v>1373</v>
      </c>
      <c r="F10" s="36">
        <v>5596</v>
      </c>
      <c r="G10" s="36">
        <v>3111</v>
      </c>
      <c r="H10" s="36">
        <v>2019</v>
      </c>
      <c r="I10" s="36">
        <v>3209</v>
      </c>
    </row>
    <row r="11" spans="1:9" s="25" customFormat="1" ht="27.75" customHeight="1">
      <c r="A11" s="293" t="s">
        <v>855</v>
      </c>
      <c r="B11" s="36">
        <f t="shared" si="1"/>
        <v>3874</v>
      </c>
      <c r="C11" s="56">
        <v>286</v>
      </c>
      <c r="D11" s="36">
        <v>356</v>
      </c>
      <c r="E11" s="36">
        <v>141</v>
      </c>
      <c r="F11" s="36">
        <v>90</v>
      </c>
      <c r="G11" s="36">
        <v>255</v>
      </c>
      <c r="H11" s="36">
        <v>2615</v>
      </c>
      <c r="I11" s="36">
        <v>131</v>
      </c>
    </row>
    <row r="12" spans="1:9" s="25" customFormat="1" ht="27.75" customHeight="1">
      <c r="A12" s="300" t="s">
        <v>856</v>
      </c>
      <c r="B12" s="36">
        <f>SUM(B13:B27)</f>
        <v>614314</v>
      </c>
      <c r="C12" s="36">
        <f aca="true" t="shared" si="2" ref="C12:I12">SUM(C13:C27)</f>
        <v>86551</v>
      </c>
      <c r="D12" s="36">
        <f t="shared" si="2"/>
        <v>72621</v>
      </c>
      <c r="E12" s="36">
        <f t="shared" si="2"/>
        <v>75340</v>
      </c>
      <c r="F12" s="36">
        <f t="shared" si="2"/>
        <v>121807</v>
      </c>
      <c r="G12" s="36">
        <f t="shared" si="2"/>
        <v>64303</v>
      </c>
      <c r="H12" s="36">
        <f t="shared" si="2"/>
        <v>181851</v>
      </c>
      <c r="I12" s="36">
        <f t="shared" si="2"/>
        <v>11841</v>
      </c>
    </row>
    <row r="13" spans="1:9" s="25" customFormat="1" ht="27.75" customHeight="1">
      <c r="A13" s="301" t="s">
        <v>857</v>
      </c>
      <c r="B13" s="36">
        <f>SUM(C13:I13)</f>
        <v>20737</v>
      </c>
      <c r="C13" s="56">
        <v>2905</v>
      </c>
      <c r="D13" s="36">
        <v>2763</v>
      </c>
      <c r="E13" s="36">
        <v>3158</v>
      </c>
      <c r="F13" s="36">
        <v>3843</v>
      </c>
      <c r="G13" s="36">
        <v>3290</v>
      </c>
      <c r="H13" s="36">
        <v>4418</v>
      </c>
      <c r="I13" s="36">
        <v>360</v>
      </c>
    </row>
    <row r="14" spans="1:9" s="25" customFormat="1" ht="27.75" customHeight="1">
      <c r="A14" s="293" t="s">
        <v>858</v>
      </c>
      <c r="B14" s="36">
        <f>SUM(C14:I14)</f>
        <v>75848</v>
      </c>
      <c r="C14" s="56">
        <v>3091</v>
      </c>
      <c r="D14" s="36">
        <v>10263</v>
      </c>
      <c r="E14" s="36">
        <v>11083</v>
      </c>
      <c r="F14" s="36">
        <v>33114</v>
      </c>
      <c r="G14" s="36">
        <v>9032</v>
      </c>
      <c r="H14" s="36">
        <v>8147</v>
      </c>
      <c r="I14" s="36">
        <v>1118</v>
      </c>
    </row>
    <row r="15" spans="1:9" s="25" customFormat="1" ht="27.75" customHeight="1">
      <c r="A15" s="293" t="s">
        <v>859</v>
      </c>
      <c r="B15" s="36">
        <f>SUM(C15:I15)</f>
        <v>7164</v>
      </c>
      <c r="C15" s="56">
        <v>2527</v>
      </c>
      <c r="D15" s="36">
        <v>561</v>
      </c>
      <c r="E15" s="36">
        <v>246</v>
      </c>
      <c r="F15" s="36">
        <v>1031</v>
      </c>
      <c r="G15" s="36">
        <v>315</v>
      </c>
      <c r="H15" s="36">
        <v>2301</v>
      </c>
      <c r="I15" s="36">
        <v>183</v>
      </c>
    </row>
    <row r="16" spans="1:9" s="25" customFormat="1" ht="27.75" customHeight="1">
      <c r="A16" s="293" t="s">
        <v>860</v>
      </c>
      <c r="B16" s="36">
        <f>SUM(C16:I16)</f>
        <v>12327</v>
      </c>
      <c r="C16" s="56">
        <v>6117</v>
      </c>
      <c r="D16" s="36">
        <v>-3160</v>
      </c>
      <c r="E16" s="36">
        <v>-258</v>
      </c>
      <c r="F16" s="36">
        <v>-438</v>
      </c>
      <c r="G16" s="36">
        <v>-146</v>
      </c>
      <c r="H16" s="36">
        <v>4160</v>
      </c>
      <c r="I16" s="36">
        <v>6052</v>
      </c>
    </row>
    <row r="17" spans="1:9" s="25" customFormat="1" ht="27.75" customHeight="1">
      <c r="A17" s="293" t="s">
        <v>861</v>
      </c>
      <c r="B17" s="36">
        <f aca="true" t="shared" si="3" ref="B17:B27">SUM(C17:I17)</f>
        <v>12958</v>
      </c>
      <c r="C17" s="56">
        <v>2088</v>
      </c>
      <c r="D17" s="36">
        <v>1936</v>
      </c>
      <c r="E17" s="36">
        <v>1601</v>
      </c>
      <c r="F17" s="36">
        <v>1749</v>
      </c>
      <c r="G17" s="36">
        <v>1567</v>
      </c>
      <c r="H17" s="36">
        <v>4017</v>
      </c>
      <c r="I17" s="36">
        <v>0</v>
      </c>
    </row>
    <row r="18" spans="1:9" s="25" customFormat="1" ht="27.75" customHeight="1">
      <c r="A18" s="293" t="s">
        <v>862</v>
      </c>
      <c r="B18" s="36">
        <f t="shared" si="3"/>
        <v>59576</v>
      </c>
      <c r="C18" s="56">
        <v>8177</v>
      </c>
      <c r="D18" s="36">
        <v>9269</v>
      </c>
      <c r="E18" s="36">
        <v>8322</v>
      </c>
      <c r="F18" s="36">
        <v>9089</v>
      </c>
      <c r="G18" s="36">
        <v>7386</v>
      </c>
      <c r="H18" s="36">
        <v>17333</v>
      </c>
      <c r="I18" s="36">
        <v>0</v>
      </c>
    </row>
    <row r="19" spans="1:9" s="25" customFormat="1" ht="27.75" customHeight="1">
      <c r="A19" s="293" t="s">
        <v>863</v>
      </c>
      <c r="B19" s="36">
        <f t="shared" si="3"/>
        <v>55436</v>
      </c>
      <c r="C19" s="56">
        <v>5055</v>
      </c>
      <c r="D19" s="36">
        <v>6878</v>
      </c>
      <c r="E19" s="36">
        <v>6618</v>
      </c>
      <c r="F19" s="36">
        <v>9657</v>
      </c>
      <c r="G19" s="36">
        <v>5357</v>
      </c>
      <c r="H19" s="36">
        <v>21871</v>
      </c>
      <c r="I19" s="36">
        <v>0</v>
      </c>
    </row>
    <row r="20" spans="1:9" s="25" customFormat="1" ht="27.75" customHeight="1">
      <c r="A20" s="293" t="s">
        <v>864</v>
      </c>
      <c r="B20" s="36">
        <f t="shared" si="3"/>
        <v>103620</v>
      </c>
      <c r="C20" s="56">
        <v>12257</v>
      </c>
      <c r="D20" s="36">
        <v>14711</v>
      </c>
      <c r="E20" s="36">
        <v>14059</v>
      </c>
      <c r="F20" s="36">
        <v>17139</v>
      </c>
      <c r="G20" s="36">
        <v>9872</v>
      </c>
      <c r="H20" s="36">
        <v>35573</v>
      </c>
      <c r="I20" s="36">
        <v>9</v>
      </c>
    </row>
    <row r="21" spans="1:9" s="25" customFormat="1" ht="27.75" customHeight="1">
      <c r="A21" s="293" t="s">
        <v>865</v>
      </c>
      <c r="B21" s="36">
        <f t="shared" si="3"/>
        <v>15464</v>
      </c>
      <c r="C21" s="56">
        <v>1790</v>
      </c>
      <c r="D21" s="36">
        <v>1618</v>
      </c>
      <c r="E21" s="36">
        <v>2164</v>
      </c>
      <c r="F21" s="36">
        <v>3866</v>
      </c>
      <c r="G21" s="36">
        <v>2244</v>
      </c>
      <c r="H21" s="36">
        <v>3782</v>
      </c>
      <c r="I21" s="36">
        <v>0</v>
      </c>
    </row>
    <row r="22" spans="1:9" s="25" customFormat="1" ht="27.75" customHeight="1">
      <c r="A22" s="293" t="s">
        <v>866</v>
      </c>
      <c r="B22" s="36">
        <f t="shared" si="3"/>
        <v>5699</v>
      </c>
      <c r="C22" s="56">
        <v>0</v>
      </c>
      <c r="D22" s="36">
        <v>947</v>
      </c>
      <c r="E22" s="36">
        <v>1182</v>
      </c>
      <c r="F22" s="36">
        <v>130</v>
      </c>
      <c r="G22" s="36">
        <v>1152</v>
      </c>
      <c r="H22" s="36">
        <v>2288</v>
      </c>
      <c r="I22" s="36">
        <v>0</v>
      </c>
    </row>
    <row r="23" spans="1:9" s="25" customFormat="1" ht="27.75" customHeight="1">
      <c r="A23" s="293" t="s">
        <v>867</v>
      </c>
      <c r="B23" s="36">
        <f t="shared" si="3"/>
        <v>2400</v>
      </c>
      <c r="C23" s="56"/>
      <c r="D23" s="36"/>
      <c r="E23" s="36"/>
      <c r="F23" s="36">
        <v>1600</v>
      </c>
      <c r="G23" s="36">
        <v>800</v>
      </c>
      <c r="H23" s="36"/>
      <c r="I23" s="36"/>
    </row>
    <row r="24" spans="1:9" s="25" customFormat="1" ht="27.75" customHeight="1">
      <c r="A24" s="293" t="s">
        <v>868</v>
      </c>
      <c r="B24" s="36">
        <f t="shared" si="3"/>
        <v>44837</v>
      </c>
      <c r="C24" s="56">
        <v>3753</v>
      </c>
      <c r="D24" s="36">
        <v>4708</v>
      </c>
      <c r="E24" s="36">
        <v>6137</v>
      </c>
      <c r="F24" s="36">
        <v>7544</v>
      </c>
      <c r="G24" s="36">
        <v>5160</v>
      </c>
      <c r="H24" s="36">
        <v>16546</v>
      </c>
      <c r="I24" s="36">
        <v>989</v>
      </c>
    </row>
    <row r="25" spans="1:9" s="25" customFormat="1" ht="27.75" customHeight="1">
      <c r="A25" s="293" t="s">
        <v>869</v>
      </c>
      <c r="B25" s="36">
        <f t="shared" si="3"/>
        <v>1330</v>
      </c>
      <c r="C25" s="56">
        <v>650</v>
      </c>
      <c r="D25" s="56"/>
      <c r="E25" s="56"/>
      <c r="F25" s="56">
        <v>680</v>
      </c>
      <c r="G25" s="56"/>
      <c r="H25" s="56"/>
      <c r="I25" s="56"/>
    </row>
    <row r="26" spans="1:9" s="25" customFormat="1" ht="27.75" customHeight="1">
      <c r="A26" s="293" t="s">
        <v>870</v>
      </c>
      <c r="B26" s="36">
        <f t="shared" si="3"/>
        <v>13924</v>
      </c>
      <c r="C26" s="56">
        <v>574</v>
      </c>
      <c r="D26" s="56">
        <v>664</v>
      </c>
      <c r="E26" s="56">
        <v>3050</v>
      </c>
      <c r="F26" s="56">
        <v>6992</v>
      </c>
      <c r="G26" s="56">
        <v>1430</v>
      </c>
      <c r="H26" s="56">
        <v>1065</v>
      </c>
      <c r="I26" s="56">
        <v>149</v>
      </c>
    </row>
    <row r="27" spans="1:9" s="25" customFormat="1" ht="27.75" customHeight="1">
      <c r="A27" s="293" t="s">
        <v>871</v>
      </c>
      <c r="B27" s="36">
        <f t="shared" si="3"/>
        <v>182994</v>
      </c>
      <c r="C27" s="56">
        <v>37567</v>
      </c>
      <c r="D27" s="56">
        <v>21463</v>
      </c>
      <c r="E27" s="56">
        <v>17978</v>
      </c>
      <c r="F27" s="56">
        <v>25811</v>
      </c>
      <c r="G27" s="56">
        <v>16844</v>
      </c>
      <c r="H27" s="56">
        <v>60350</v>
      </c>
      <c r="I27" s="56">
        <v>2981</v>
      </c>
    </row>
    <row r="28" spans="1:9" s="25" customFormat="1" ht="27.75" customHeight="1">
      <c r="A28" s="295" t="s">
        <v>872</v>
      </c>
      <c r="B28" s="41">
        <f>B12+B5</f>
        <v>714214</v>
      </c>
      <c r="C28" s="41">
        <f aca="true" t="shared" si="4" ref="C28:I28">C12+C5</f>
        <v>102168</v>
      </c>
      <c r="D28" s="41">
        <f t="shared" si="4"/>
        <v>97983</v>
      </c>
      <c r="E28" s="41">
        <f t="shared" si="4"/>
        <v>82401</v>
      </c>
      <c r="F28" s="41">
        <f t="shared" si="4"/>
        <v>131294</v>
      </c>
      <c r="G28" s="41">
        <f t="shared" si="4"/>
        <v>72781</v>
      </c>
      <c r="H28" s="41">
        <f t="shared" si="4"/>
        <v>210810</v>
      </c>
      <c r="I28" s="41">
        <f t="shared" si="4"/>
        <v>16777</v>
      </c>
    </row>
  </sheetData>
  <sheetProtection/>
  <mergeCells count="1">
    <mergeCell ref="A2:I2"/>
  </mergeCells>
  <printOptions horizontalCentered="1"/>
  <pageMargins left="0.47" right="0.47" top="0.75" bottom="0.9" header="0.51" footer="0.51"/>
  <pageSetup horizontalDpi="600" verticalDpi="600" orientation="portrait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workbookViewId="0" topLeftCell="A1">
      <selection activeCell="D15" sqref="D15"/>
    </sheetView>
  </sheetViews>
  <sheetFormatPr defaultColWidth="9.00390625" defaultRowHeight="14.25"/>
  <cols>
    <col min="1" max="1" width="22.00390625" style="25" customWidth="1"/>
    <col min="2" max="2" width="8.50390625" style="25" customWidth="1"/>
    <col min="3" max="9" width="7.50390625" style="25" customWidth="1"/>
    <col min="10" max="248" width="9.00390625" style="25" customWidth="1"/>
    <col min="249" max="16384" width="9.00390625" style="1" customWidth="1"/>
  </cols>
  <sheetData>
    <row r="1" spans="1:9" s="25" customFormat="1" ht="18" customHeight="1">
      <c r="A1" s="2" t="s">
        <v>873</v>
      </c>
      <c r="B1" s="290"/>
      <c r="C1" s="2"/>
      <c r="D1" s="2"/>
      <c r="E1" s="2"/>
      <c r="F1" s="2"/>
      <c r="G1" s="2"/>
      <c r="H1" s="2"/>
      <c r="I1" s="2"/>
    </row>
    <row r="2" spans="1:9" s="24" customFormat="1" ht="21">
      <c r="A2" s="4" t="s">
        <v>874</v>
      </c>
      <c r="B2" s="4"/>
      <c r="C2" s="4"/>
      <c r="D2" s="4"/>
      <c r="E2" s="4"/>
      <c r="F2" s="4"/>
      <c r="G2" s="4"/>
      <c r="H2" s="4"/>
      <c r="I2" s="4"/>
    </row>
    <row r="3" s="25" customFormat="1" ht="20.25" customHeight="1">
      <c r="I3" s="5" t="s">
        <v>3</v>
      </c>
    </row>
    <row r="4" spans="1:9" s="25" customFormat="1" ht="30.75" customHeight="1">
      <c r="A4" s="68" t="s">
        <v>840</v>
      </c>
      <c r="B4" s="68" t="s">
        <v>841</v>
      </c>
      <c r="C4" s="68" t="s">
        <v>842</v>
      </c>
      <c r="D4" s="33" t="s">
        <v>843</v>
      </c>
      <c r="E4" s="33" t="s">
        <v>844</v>
      </c>
      <c r="F4" s="33" t="s">
        <v>845</v>
      </c>
      <c r="G4" s="33" t="s">
        <v>846</v>
      </c>
      <c r="H4" s="33" t="s">
        <v>847</v>
      </c>
      <c r="I4" s="296" t="s">
        <v>848</v>
      </c>
    </row>
    <row r="5" spans="1:9" s="25" customFormat="1" ht="30" customHeight="1">
      <c r="A5" s="291" t="s">
        <v>875</v>
      </c>
      <c r="B5" s="68">
        <f>SUM(B6:B17)</f>
        <v>230948</v>
      </c>
      <c r="C5" s="68">
        <f aca="true" t="shared" si="0" ref="C5:I5">SUM(C6:C17)</f>
        <v>29200</v>
      </c>
      <c r="D5" s="68">
        <f t="shared" si="0"/>
        <v>30590</v>
      </c>
      <c r="E5" s="68">
        <f t="shared" si="0"/>
        <v>44016</v>
      </c>
      <c r="F5" s="68">
        <f t="shared" si="0"/>
        <v>33744</v>
      </c>
      <c r="G5" s="68">
        <f t="shared" si="0"/>
        <v>27502</v>
      </c>
      <c r="H5" s="68">
        <f t="shared" si="0"/>
        <v>63428</v>
      </c>
      <c r="I5" s="68">
        <f t="shared" si="0"/>
        <v>2468</v>
      </c>
    </row>
    <row r="6" spans="1:9" s="25" customFormat="1" ht="30" customHeight="1">
      <c r="A6" s="292" t="s">
        <v>876</v>
      </c>
      <c r="B6" s="56">
        <f aca="true" t="shared" si="1" ref="B6:B17">SUM(C6:I6)</f>
        <v>4822</v>
      </c>
      <c r="C6" s="56">
        <v>298</v>
      </c>
      <c r="D6" s="56">
        <v>1160</v>
      </c>
      <c r="E6" s="56">
        <v>431</v>
      </c>
      <c r="F6" s="56">
        <v>791</v>
      </c>
      <c r="G6" s="56">
        <v>486</v>
      </c>
      <c r="H6" s="56">
        <v>1656</v>
      </c>
      <c r="I6" s="56">
        <v>0</v>
      </c>
    </row>
    <row r="7" spans="1:9" s="25" customFormat="1" ht="30" customHeight="1">
      <c r="A7" s="293" t="s">
        <v>877</v>
      </c>
      <c r="B7" s="56">
        <f t="shared" si="1"/>
        <v>5861</v>
      </c>
      <c r="C7" s="56">
        <v>910</v>
      </c>
      <c r="D7" s="56">
        <v>244</v>
      </c>
      <c r="E7" s="56">
        <v>523</v>
      </c>
      <c r="F7" s="56">
        <v>530</v>
      </c>
      <c r="G7" s="56">
        <v>402</v>
      </c>
      <c r="H7" s="56">
        <v>2670</v>
      </c>
      <c r="I7" s="56">
        <v>582</v>
      </c>
    </row>
    <row r="8" spans="1:9" s="25" customFormat="1" ht="30" customHeight="1">
      <c r="A8" s="293" t="s">
        <v>878</v>
      </c>
      <c r="B8" s="56">
        <f t="shared" si="1"/>
        <v>7108</v>
      </c>
      <c r="C8" s="56">
        <v>1809</v>
      </c>
      <c r="D8" s="56">
        <v>220</v>
      </c>
      <c r="E8" s="56">
        <v>111</v>
      </c>
      <c r="F8" s="56">
        <v>1262</v>
      </c>
      <c r="G8" s="56">
        <v>1527</v>
      </c>
      <c r="H8" s="56">
        <v>2171</v>
      </c>
      <c r="I8" s="56">
        <v>8</v>
      </c>
    </row>
    <row r="9" spans="1:9" s="25" customFormat="1" ht="30" customHeight="1">
      <c r="A9" s="293" t="s">
        <v>879</v>
      </c>
      <c r="B9" s="56">
        <f t="shared" si="1"/>
        <v>5557</v>
      </c>
      <c r="C9" s="56">
        <v>967</v>
      </c>
      <c r="D9" s="56">
        <v>588</v>
      </c>
      <c r="E9" s="56">
        <v>687</v>
      </c>
      <c r="F9" s="56">
        <v>657</v>
      </c>
      <c r="G9" s="56">
        <v>501</v>
      </c>
      <c r="H9" s="56">
        <v>2096</v>
      </c>
      <c r="I9" s="56">
        <v>61</v>
      </c>
    </row>
    <row r="10" spans="1:9" s="25" customFormat="1" ht="30" customHeight="1">
      <c r="A10" s="293" t="s">
        <v>880</v>
      </c>
      <c r="B10" s="56">
        <f t="shared" si="1"/>
        <v>3563</v>
      </c>
      <c r="C10" s="56">
        <v>344</v>
      </c>
      <c r="D10" s="56">
        <v>1490</v>
      </c>
      <c r="E10" s="56">
        <v>275</v>
      </c>
      <c r="F10" s="56">
        <v>598</v>
      </c>
      <c r="G10" s="56">
        <v>228</v>
      </c>
      <c r="H10" s="56">
        <v>628</v>
      </c>
      <c r="I10" s="56">
        <v>0</v>
      </c>
    </row>
    <row r="11" spans="1:9" s="25" customFormat="1" ht="30" customHeight="1">
      <c r="A11" s="293" t="s">
        <v>881</v>
      </c>
      <c r="B11" s="56">
        <f t="shared" si="1"/>
        <v>20438</v>
      </c>
      <c r="C11" s="56">
        <v>2347</v>
      </c>
      <c r="D11" s="56">
        <v>3176</v>
      </c>
      <c r="E11" s="56">
        <v>2813</v>
      </c>
      <c r="F11" s="56">
        <v>2625</v>
      </c>
      <c r="G11" s="56">
        <v>4146</v>
      </c>
      <c r="H11" s="56">
        <v>4548</v>
      </c>
      <c r="I11" s="56">
        <v>783</v>
      </c>
    </row>
    <row r="12" spans="1:9" s="25" customFormat="1" ht="30" customHeight="1">
      <c r="A12" s="293" t="s">
        <v>882</v>
      </c>
      <c r="B12" s="56">
        <f t="shared" si="1"/>
        <v>34475</v>
      </c>
      <c r="C12" s="56">
        <v>4199</v>
      </c>
      <c r="D12" s="56">
        <v>7324</v>
      </c>
      <c r="E12" s="56">
        <v>16242</v>
      </c>
      <c r="F12" s="56">
        <v>176</v>
      </c>
      <c r="G12" s="56">
        <v>5</v>
      </c>
      <c r="H12" s="56">
        <v>6529</v>
      </c>
      <c r="I12" s="56">
        <v>0</v>
      </c>
    </row>
    <row r="13" spans="1:9" s="25" customFormat="1" ht="30" customHeight="1">
      <c r="A13" s="293" t="s">
        <v>883</v>
      </c>
      <c r="B13" s="56">
        <f t="shared" si="1"/>
        <v>61902</v>
      </c>
      <c r="C13" s="56">
        <v>5772</v>
      </c>
      <c r="D13" s="56">
        <v>9293</v>
      </c>
      <c r="E13" s="56">
        <v>7515</v>
      </c>
      <c r="F13" s="56">
        <v>11757</v>
      </c>
      <c r="G13" s="56">
        <v>9877</v>
      </c>
      <c r="H13" s="56">
        <v>17184</v>
      </c>
      <c r="I13" s="56">
        <v>504</v>
      </c>
    </row>
    <row r="14" spans="1:9" s="25" customFormat="1" ht="30" customHeight="1">
      <c r="A14" s="293" t="s">
        <v>884</v>
      </c>
      <c r="B14" s="56">
        <f t="shared" si="1"/>
        <v>23676</v>
      </c>
      <c r="C14" s="56">
        <v>3892</v>
      </c>
      <c r="D14" s="56">
        <v>2156</v>
      </c>
      <c r="E14" s="56">
        <v>1247</v>
      </c>
      <c r="F14" s="56">
        <v>5031</v>
      </c>
      <c r="G14" s="56">
        <v>3825</v>
      </c>
      <c r="H14" s="56">
        <v>7513</v>
      </c>
      <c r="I14" s="56">
        <v>12</v>
      </c>
    </row>
    <row r="15" spans="1:9" s="25" customFormat="1" ht="30" customHeight="1">
      <c r="A15" s="293" t="s">
        <v>885</v>
      </c>
      <c r="B15" s="56">
        <f t="shared" si="1"/>
        <v>6805</v>
      </c>
      <c r="C15" s="56">
        <v>266</v>
      </c>
      <c r="D15" s="56">
        <v>125</v>
      </c>
      <c r="E15" s="56">
        <v>718</v>
      </c>
      <c r="F15" s="56">
        <v>1095</v>
      </c>
      <c r="G15" s="56">
        <v>1704</v>
      </c>
      <c r="H15" s="56">
        <v>2608</v>
      </c>
      <c r="I15" s="56">
        <v>289</v>
      </c>
    </row>
    <row r="16" spans="1:9" s="25" customFormat="1" ht="30" customHeight="1">
      <c r="A16" s="293" t="s">
        <v>886</v>
      </c>
      <c r="B16" s="56">
        <f t="shared" si="1"/>
        <v>34463</v>
      </c>
      <c r="C16" s="56">
        <v>5167</v>
      </c>
      <c r="D16" s="56">
        <v>2462</v>
      </c>
      <c r="E16" s="56">
        <v>10539</v>
      </c>
      <c r="F16" s="56">
        <v>3330</v>
      </c>
      <c r="G16" s="56">
        <v>739</v>
      </c>
      <c r="H16" s="56">
        <v>12185</v>
      </c>
      <c r="I16" s="56">
        <v>41</v>
      </c>
    </row>
    <row r="17" spans="1:9" s="25" customFormat="1" ht="30" customHeight="1">
      <c r="A17" s="293" t="s">
        <v>265</v>
      </c>
      <c r="B17" s="56">
        <f t="shared" si="1"/>
        <v>22278</v>
      </c>
      <c r="C17" s="56">
        <v>3229</v>
      </c>
      <c r="D17" s="56">
        <v>2352</v>
      </c>
      <c r="E17" s="56">
        <v>2915</v>
      </c>
      <c r="F17" s="56">
        <v>5892</v>
      </c>
      <c r="G17" s="56">
        <v>4062</v>
      </c>
      <c r="H17" s="56">
        <v>3640</v>
      </c>
      <c r="I17" s="56">
        <v>188</v>
      </c>
    </row>
    <row r="18" spans="1:9" s="25" customFormat="1" ht="30" customHeight="1">
      <c r="A18" s="294" t="s">
        <v>887</v>
      </c>
      <c r="B18" s="56">
        <f>SUM(B19:B21)</f>
        <v>25701</v>
      </c>
      <c r="C18" s="56">
        <f aca="true" t="shared" si="2" ref="C18:I18">SUM(C19:C21)</f>
        <v>3248</v>
      </c>
      <c r="D18" s="56">
        <f t="shared" si="2"/>
        <v>810</v>
      </c>
      <c r="E18" s="56">
        <f t="shared" si="2"/>
        <v>2989</v>
      </c>
      <c r="F18" s="56">
        <f t="shared" si="2"/>
        <v>6973</v>
      </c>
      <c r="G18" s="56">
        <f t="shared" si="2"/>
        <v>2766</v>
      </c>
      <c r="H18" s="56">
        <f t="shared" si="2"/>
        <v>8081</v>
      </c>
      <c r="I18" s="56">
        <f t="shared" si="2"/>
        <v>834</v>
      </c>
    </row>
    <row r="19" spans="1:9" s="25" customFormat="1" ht="30" customHeight="1">
      <c r="A19" s="293" t="s">
        <v>879</v>
      </c>
      <c r="B19" s="56">
        <f>SUM(C19:I19)</f>
        <v>5814</v>
      </c>
      <c r="C19" s="56">
        <v>637</v>
      </c>
      <c r="D19" s="56">
        <v>21</v>
      </c>
      <c r="E19" s="56">
        <v>184</v>
      </c>
      <c r="F19" s="56">
        <v>3128</v>
      </c>
      <c r="G19" s="56">
        <v>36</v>
      </c>
      <c r="H19" s="56">
        <v>1807</v>
      </c>
      <c r="I19" s="56">
        <v>1</v>
      </c>
    </row>
    <row r="20" spans="1:9" s="25" customFormat="1" ht="30" customHeight="1">
      <c r="A20" s="293" t="s">
        <v>882</v>
      </c>
      <c r="B20" s="56">
        <f>SUM(C20:I20)</f>
        <v>7302</v>
      </c>
      <c r="C20" s="56">
        <v>1436</v>
      </c>
      <c r="D20" s="56">
        <v>82</v>
      </c>
      <c r="E20" s="56">
        <v>1436</v>
      </c>
      <c r="F20" s="56">
        <v>1504</v>
      </c>
      <c r="G20" s="56">
        <v>1892</v>
      </c>
      <c r="H20" s="56">
        <v>364</v>
      </c>
      <c r="I20" s="56">
        <v>588</v>
      </c>
    </row>
    <row r="21" spans="1:9" s="25" customFormat="1" ht="30" customHeight="1">
      <c r="A21" s="293" t="s">
        <v>265</v>
      </c>
      <c r="B21" s="56">
        <f>SUM(C21:I21)</f>
        <v>12585</v>
      </c>
      <c r="C21" s="56">
        <v>1175</v>
      </c>
      <c r="D21" s="56">
        <v>707</v>
      </c>
      <c r="E21" s="56">
        <v>1369</v>
      </c>
      <c r="F21" s="56">
        <v>2341</v>
      </c>
      <c r="G21" s="56">
        <v>838</v>
      </c>
      <c r="H21" s="56">
        <v>5910</v>
      </c>
      <c r="I21" s="56">
        <v>245</v>
      </c>
    </row>
    <row r="22" spans="1:9" s="25" customFormat="1" ht="30" customHeight="1">
      <c r="A22" s="294" t="s">
        <v>888</v>
      </c>
      <c r="B22" s="56">
        <f>SUM(C22:I22)</f>
        <v>5741</v>
      </c>
      <c r="C22" s="56"/>
      <c r="D22" s="56">
        <f>531+2</f>
        <v>533</v>
      </c>
      <c r="E22" s="56"/>
      <c r="F22" s="56">
        <v>266</v>
      </c>
      <c r="G22" s="56">
        <v>176</v>
      </c>
      <c r="H22" s="56">
        <f>4627+139</f>
        <v>4766</v>
      </c>
      <c r="I22" s="56"/>
    </row>
    <row r="23" spans="1:9" s="25" customFormat="1" ht="30.75" customHeight="1">
      <c r="A23" s="295" t="s">
        <v>872</v>
      </c>
      <c r="B23" s="58">
        <f>SUM(B5,B18,B22)</f>
        <v>262390</v>
      </c>
      <c r="C23" s="58">
        <f aca="true" t="shared" si="3" ref="C23:I23">SUM(C5,C18,C22)</f>
        <v>32448</v>
      </c>
      <c r="D23" s="58">
        <f t="shared" si="3"/>
        <v>31933</v>
      </c>
      <c r="E23" s="58">
        <f t="shared" si="3"/>
        <v>47005</v>
      </c>
      <c r="F23" s="58">
        <f t="shared" si="3"/>
        <v>40983</v>
      </c>
      <c r="G23" s="58">
        <f t="shared" si="3"/>
        <v>30444</v>
      </c>
      <c r="H23" s="58">
        <f t="shared" si="3"/>
        <v>76275</v>
      </c>
      <c r="I23" s="58">
        <f t="shared" si="3"/>
        <v>3302</v>
      </c>
    </row>
  </sheetData>
  <sheetProtection/>
  <mergeCells count="1">
    <mergeCell ref="A2:I2"/>
  </mergeCells>
  <printOptions horizontalCentered="1"/>
  <pageMargins left="0.63" right="0.63" top="0.75" bottom="0.9" header="0.51" footer="0.51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F12" sqref="F12"/>
    </sheetView>
  </sheetViews>
  <sheetFormatPr defaultColWidth="9.00390625" defaultRowHeight="14.25"/>
  <cols>
    <col min="1" max="1" width="15.75390625" style="280" customWidth="1"/>
    <col min="2" max="2" width="11.50390625" style="280" customWidth="1"/>
    <col min="3" max="3" width="13.00390625" style="280" customWidth="1"/>
    <col min="4" max="4" width="13.125" style="280" customWidth="1"/>
    <col min="5" max="5" width="11.75390625" style="280" customWidth="1"/>
    <col min="6" max="6" width="14.875" style="280" customWidth="1"/>
    <col min="7" max="7" width="12.875" style="280" customWidth="1"/>
    <col min="8" max="8" width="12.00390625" style="280" customWidth="1"/>
    <col min="9" max="9" width="11.75390625" style="280" customWidth="1"/>
    <col min="10" max="10" width="14.875" style="280" customWidth="1"/>
    <col min="11" max="16384" width="9.00390625" style="280" customWidth="1"/>
  </cols>
  <sheetData>
    <row r="1" spans="1:10" s="280" customFormat="1" ht="24.75" customHeight="1">
      <c r="A1" s="281" t="s">
        <v>889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10" s="280" customFormat="1" ht="20.25">
      <c r="A2" s="283" t="s">
        <v>890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s="280" customFormat="1" ht="18.75" customHeight="1">
      <c r="A3" s="282"/>
      <c r="B3" s="282"/>
      <c r="C3" s="282"/>
      <c r="D3" s="282"/>
      <c r="E3" s="282"/>
      <c r="F3" s="282"/>
      <c r="G3" s="282"/>
      <c r="H3" s="282"/>
      <c r="I3" s="289" t="s">
        <v>891</v>
      </c>
      <c r="J3" s="289"/>
    </row>
    <row r="4" spans="1:10" s="280" customFormat="1" ht="21.75" customHeight="1">
      <c r="A4" s="284" t="s">
        <v>892</v>
      </c>
      <c r="B4" s="284" t="s">
        <v>893</v>
      </c>
      <c r="C4" s="284"/>
      <c r="D4" s="284"/>
      <c r="E4" s="284" t="s">
        <v>894</v>
      </c>
      <c r="F4" s="284"/>
      <c r="G4" s="284"/>
      <c r="H4" s="284" t="s">
        <v>895</v>
      </c>
      <c r="I4" s="284"/>
      <c r="J4" s="284"/>
    </row>
    <row r="5" spans="1:10" s="280" customFormat="1" ht="30" customHeight="1">
      <c r="A5" s="284"/>
      <c r="B5" s="284" t="s">
        <v>896</v>
      </c>
      <c r="C5" s="284" t="s">
        <v>897</v>
      </c>
      <c r="D5" s="284" t="s">
        <v>898</v>
      </c>
      <c r="E5" s="284" t="s">
        <v>896</v>
      </c>
      <c r="F5" s="284" t="s">
        <v>897</v>
      </c>
      <c r="G5" s="284" t="s">
        <v>898</v>
      </c>
      <c r="H5" s="284" t="s">
        <v>896</v>
      </c>
      <c r="I5" s="284" t="s">
        <v>897</v>
      </c>
      <c r="J5" s="284" t="s">
        <v>898</v>
      </c>
    </row>
    <row r="6" spans="1:10" s="280" customFormat="1" ht="27" customHeight="1">
      <c r="A6" s="285" t="s">
        <v>899</v>
      </c>
      <c r="B6" s="285">
        <v>2183100</v>
      </c>
      <c r="C6" s="285">
        <v>1117800</v>
      </c>
      <c r="D6" s="285">
        <v>1065300</v>
      </c>
      <c r="E6" s="285">
        <f aca="true" t="shared" si="0" ref="E6:G6">E7+E8</f>
        <v>441200</v>
      </c>
      <c r="F6" s="285">
        <f t="shared" si="0"/>
        <v>187200</v>
      </c>
      <c r="G6" s="285">
        <f t="shared" si="0"/>
        <v>254000</v>
      </c>
      <c r="H6" s="285">
        <f aca="true" t="shared" si="1" ref="H6:H15">I6+J6</f>
        <v>-1741900</v>
      </c>
      <c r="I6" s="285">
        <f aca="true" t="shared" si="2" ref="I6:I15">F6-C6</f>
        <v>-930600</v>
      </c>
      <c r="J6" s="285">
        <f aca="true" t="shared" si="3" ref="J6:J15">G6-D6</f>
        <v>-811300</v>
      </c>
    </row>
    <row r="7" spans="1:10" s="280" customFormat="1" ht="27" customHeight="1">
      <c r="A7" s="286" t="s">
        <v>900</v>
      </c>
      <c r="B7" s="286">
        <v>390943</v>
      </c>
      <c r="C7" s="286">
        <v>211960</v>
      </c>
      <c r="D7" s="286">
        <v>178983</v>
      </c>
      <c r="E7" s="286">
        <v>49400</v>
      </c>
      <c r="F7" s="286">
        <v>37200</v>
      </c>
      <c r="G7" s="286">
        <v>12200</v>
      </c>
      <c r="H7" s="286">
        <f t="shared" si="1"/>
        <v>-341543</v>
      </c>
      <c r="I7" s="286">
        <f t="shared" si="2"/>
        <v>-174760</v>
      </c>
      <c r="J7" s="286">
        <f t="shared" si="3"/>
        <v>-166783</v>
      </c>
    </row>
    <row r="8" spans="1:10" s="280" customFormat="1" ht="27" customHeight="1">
      <c r="A8" s="286" t="s">
        <v>901</v>
      </c>
      <c r="B8" s="286">
        <v>1792157</v>
      </c>
      <c r="C8" s="286">
        <v>905840</v>
      </c>
      <c r="D8" s="286">
        <v>886317</v>
      </c>
      <c r="E8" s="286">
        <f aca="true" t="shared" si="4" ref="E8:G8">SUM(E9:E15)</f>
        <v>391800</v>
      </c>
      <c r="F8" s="286">
        <f t="shared" si="4"/>
        <v>150000</v>
      </c>
      <c r="G8" s="286">
        <f t="shared" si="4"/>
        <v>241800</v>
      </c>
      <c r="H8" s="286">
        <f t="shared" si="1"/>
        <v>-1400357</v>
      </c>
      <c r="I8" s="286">
        <f t="shared" si="2"/>
        <v>-755840</v>
      </c>
      <c r="J8" s="286">
        <f t="shared" si="3"/>
        <v>-644517</v>
      </c>
    </row>
    <row r="9" spans="1:10" s="280" customFormat="1" ht="27" customHeight="1">
      <c r="A9" s="286" t="s">
        <v>842</v>
      </c>
      <c r="B9" s="286">
        <v>360062</v>
      </c>
      <c r="C9" s="286">
        <v>259962</v>
      </c>
      <c r="D9" s="286">
        <v>100100</v>
      </c>
      <c r="E9" s="286">
        <v>103900</v>
      </c>
      <c r="F9" s="286">
        <v>47900</v>
      </c>
      <c r="G9" s="286">
        <v>56000</v>
      </c>
      <c r="H9" s="286">
        <f t="shared" si="1"/>
        <v>-256162</v>
      </c>
      <c r="I9" s="286">
        <f t="shared" si="2"/>
        <v>-212062</v>
      </c>
      <c r="J9" s="286">
        <f t="shared" si="3"/>
        <v>-44100</v>
      </c>
    </row>
    <row r="10" spans="1:10" s="280" customFormat="1" ht="27" customHeight="1">
      <c r="A10" s="286" t="s">
        <v>843</v>
      </c>
      <c r="B10" s="286">
        <v>255152</v>
      </c>
      <c r="C10" s="286">
        <v>85863</v>
      </c>
      <c r="D10" s="286">
        <v>169289</v>
      </c>
      <c r="E10" s="286">
        <v>122431</v>
      </c>
      <c r="F10" s="286">
        <v>78531</v>
      </c>
      <c r="G10" s="286">
        <v>43900</v>
      </c>
      <c r="H10" s="286">
        <f t="shared" si="1"/>
        <v>-132721</v>
      </c>
      <c r="I10" s="286">
        <f t="shared" si="2"/>
        <v>-7332</v>
      </c>
      <c r="J10" s="286">
        <f t="shared" si="3"/>
        <v>-125389</v>
      </c>
    </row>
    <row r="11" spans="1:10" s="280" customFormat="1" ht="27" customHeight="1">
      <c r="A11" s="286" t="s">
        <v>844</v>
      </c>
      <c r="B11" s="286">
        <v>101690</v>
      </c>
      <c r="C11" s="286">
        <v>61375</v>
      </c>
      <c r="D11" s="286">
        <v>40315</v>
      </c>
      <c r="E11" s="286">
        <v>25560</v>
      </c>
      <c r="F11" s="286">
        <v>9800</v>
      </c>
      <c r="G11" s="286">
        <v>15760</v>
      </c>
      <c r="H11" s="286">
        <f t="shared" si="1"/>
        <v>-76130</v>
      </c>
      <c r="I11" s="286">
        <f t="shared" si="2"/>
        <v>-51575</v>
      </c>
      <c r="J11" s="286">
        <f t="shared" si="3"/>
        <v>-24555</v>
      </c>
    </row>
    <row r="12" spans="1:10" s="280" customFormat="1" ht="27" customHeight="1">
      <c r="A12" s="286" t="s">
        <v>845</v>
      </c>
      <c r="B12" s="286">
        <v>86025</v>
      </c>
      <c r="C12" s="286">
        <v>50600</v>
      </c>
      <c r="D12" s="286">
        <v>35425</v>
      </c>
      <c r="E12" s="286">
        <v>14000</v>
      </c>
      <c r="F12" s="286">
        <v>2000</v>
      </c>
      <c r="G12" s="286">
        <v>12000</v>
      </c>
      <c r="H12" s="286">
        <f t="shared" si="1"/>
        <v>-72025</v>
      </c>
      <c r="I12" s="286">
        <f t="shared" si="2"/>
        <v>-48600</v>
      </c>
      <c r="J12" s="286">
        <f t="shared" si="3"/>
        <v>-23425</v>
      </c>
    </row>
    <row r="13" spans="1:10" s="280" customFormat="1" ht="27" customHeight="1">
      <c r="A13" s="286" t="s">
        <v>846</v>
      </c>
      <c r="B13" s="286">
        <v>65800</v>
      </c>
      <c r="C13" s="286">
        <v>45300</v>
      </c>
      <c r="D13" s="286">
        <v>20500</v>
      </c>
      <c r="E13" s="286">
        <v>53909</v>
      </c>
      <c r="F13" s="286">
        <v>4769</v>
      </c>
      <c r="G13" s="286">
        <v>49140</v>
      </c>
      <c r="H13" s="286">
        <f t="shared" si="1"/>
        <v>-11891</v>
      </c>
      <c r="I13" s="286">
        <f t="shared" si="2"/>
        <v>-40531</v>
      </c>
      <c r="J13" s="286">
        <f t="shared" si="3"/>
        <v>28640</v>
      </c>
    </row>
    <row r="14" spans="1:10" s="280" customFormat="1" ht="27" customHeight="1">
      <c r="A14" s="286" t="s">
        <v>847</v>
      </c>
      <c r="B14" s="286">
        <v>897726</v>
      </c>
      <c r="C14" s="286">
        <v>383838</v>
      </c>
      <c r="D14" s="286">
        <v>513888</v>
      </c>
      <c r="E14" s="286">
        <v>60000</v>
      </c>
      <c r="F14" s="286">
        <v>5000</v>
      </c>
      <c r="G14" s="286">
        <v>55000</v>
      </c>
      <c r="H14" s="286">
        <f t="shared" si="1"/>
        <v>-837726</v>
      </c>
      <c r="I14" s="286">
        <f t="shared" si="2"/>
        <v>-378838</v>
      </c>
      <c r="J14" s="286">
        <f t="shared" si="3"/>
        <v>-458888</v>
      </c>
    </row>
    <row r="15" spans="1:10" s="280" customFormat="1" ht="27" customHeight="1">
      <c r="A15" s="287" t="s">
        <v>848</v>
      </c>
      <c r="B15" s="287">
        <v>25702</v>
      </c>
      <c r="C15" s="287">
        <v>18902</v>
      </c>
      <c r="D15" s="287">
        <v>6800</v>
      </c>
      <c r="E15" s="287">
        <v>12000</v>
      </c>
      <c r="F15" s="287">
        <v>2000</v>
      </c>
      <c r="G15" s="287">
        <v>10000</v>
      </c>
      <c r="H15" s="287">
        <f t="shared" si="1"/>
        <v>-13702</v>
      </c>
      <c r="I15" s="287">
        <f t="shared" si="2"/>
        <v>-16902</v>
      </c>
      <c r="J15" s="287">
        <f t="shared" si="3"/>
        <v>3200</v>
      </c>
    </row>
    <row r="16" spans="1:10" s="280" customFormat="1" ht="55.5" customHeight="1">
      <c r="A16" s="288" t="s">
        <v>902</v>
      </c>
      <c r="B16" s="288"/>
      <c r="C16" s="288"/>
      <c r="D16" s="288"/>
      <c r="E16" s="288"/>
      <c r="F16" s="288"/>
      <c r="G16" s="288"/>
      <c r="H16" s="288"/>
      <c r="I16" s="288"/>
      <c r="J16" s="288"/>
    </row>
  </sheetData>
  <sheetProtection/>
  <mergeCells count="7">
    <mergeCell ref="A2:J2"/>
    <mergeCell ref="I3:J3"/>
    <mergeCell ref="B4:D4"/>
    <mergeCell ref="E4:G4"/>
    <mergeCell ref="H4:J4"/>
    <mergeCell ref="A16:J16"/>
    <mergeCell ref="A4:A5"/>
  </mergeCells>
  <printOptions/>
  <pageMargins left="0.75" right="0.75" top="1" bottom="1" header="0.51" footer="0.51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B7:G11"/>
  <sheetViews>
    <sheetView workbookViewId="0" topLeftCell="A1">
      <selection activeCell="F22" sqref="F22"/>
    </sheetView>
  </sheetViews>
  <sheetFormatPr defaultColWidth="9.00390625" defaultRowHeight="14.25"/>
  <cols>
    <col min="2" max="2" width="16.00390625" style="0" customWidth="1"/>
  </cols>
  <sheetData>
    <row r="4" ht="72.75" customHeight="1"/>
    <row r="7" spans="2:7" ht="25.5">
      <c r="B7" s="278" t="s">
        <v>903</v>
      </c>
      <c r="C7" s="279" t="s">
        <v>904</v>
      </c>
      <c r="D7" s="279"/>
      <c r="E7" s="279"/>
      <c r="F7" s="279"/>
      <c r="G7" s="279"/>
    </row>
    <row r="8" spans="2:7" ht="25.5">
      <c r="B8" s="278"/>
      <c r="C8" s="279"/>
      <c r="D8" s="279"/>
      <c r="E8" s="279"/>
      <c r="F8" s="279"/>
      <c r="G8" s="279"/>
    </row>
    <row r="9" spans="2:7" ht="25.5">
      <c r="B9" s="278"/>
      <c r="C9" s="279"/>
      <c r="D9" s="279"/>
      <c r="E9" s="279"/>
      <c r="F9" s="279"/>
      <c r="G9" s="279"/>
    </row>
    <row r="10" spans="2:7" ht="25.5">
      <c r="B10" s="278"/>
      <c r="C10" s="279"/>
      <c r="D10" s="279"/>
      <c r="E10" s="279"/>
      <c r="F10" s="279"/>
      <c r="G10" s="279"/>
    </row>
    <row r="11" spans="2:7" ht="25.5">
      <c r="B11" s="278"/>
      <c r="C11" s="279"/>
      <c r="D11" s="279"/>
      <c r="E11" s="279"/>
      <c r="F11" s="279"/>
      <c r="G11" s="279"/>
    </row>
  </sheetData>
  <sheetProtection/>
  <mergeCells count="5">
    <mergeCell ref="C7:G7"/>
    <mergeCell ref="C8:G8"/>
    <mergeCell ref="C9:G9"/>
    <mergeCell ref="C10:G10"/>
    <mergeCell ref="C11:G11"/>
  </mergeCells>
  <printOptions/>
  <pageMargins left="0.75" right="0.75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1"/>
  </sheetPr>
  <dimension ref="A1:H38"/>
  <sheetViews>
    <sheetView workbookViewId="0" topLeftCell="A4">
      <selection activeCell="F27" sqref="F27"/>
    </sheetView>
  </sheetViews>
  <sheetFormatPr defaultColWidth="9.00390625" defaultRowHeight="14.25"/>
  <cols>
    <col min="1" max="1" width="22.375" style="61" customWidth="1"/>
    <col min="2" max="3" width="11.875" style="61" customWidth="1"/>
    <col min="4" max="4" width="12.625" style="61" customWidth="1"/>
    <col min="5" max="5" width="17.75390625" style="61" customWidth="1"/>
    <col min="6" max="16384" width="9.00390625" style="61" customWidth="1"/>
  </cols>
  <sheetData>
    <row r="1" ht="14.25">
      <c r="A1" s="227" t="s">
        <v>1</v>
      </c>
    </row>
    <row r="2" spans="1:5" ht="21.75">
      <c r="A2" s="229" t="s">
        <v>905</v>
      </c>
      <c r="B2" s="229"/>
      <c r="C2" s="229"/>
      <c r="D2" s="229"/>
      <c r="E2" s="229"/>
    </row>
    <row r="3" spans="1:5" ht="18.75" customHeight="1">
      <c r="A3" s="230"/>
      <c r="D3" s="64"/>
      <c r="E3" s="64" t="s">
        <v>3</v>
      </c>
    </row>
    <row r="4" spans="1:5" ht="30" customHeight="1">
      <c r="A4" s="231" t="s">
        <v>4</v>
      </c>
      <c r="B4" s="233" t="s">
        <v>137</v>
      </c>
      <c r="C4" s="233" t="s">
        <v>906</v>
      </c>
      <c r="D4" s="234" t="s">
        <v>162</v>
      </c>
      <c r="E4" s="235" t="s">
        <v>907</v>
      </c>
    </row>
    <row r="5" spans="1:6" ht="20.25" customHeight="1">
      <c r="A5" s="38" t="s">
        <v>13</v>
      </c>
      <c r="B5" s="238">
        <f>'表3市级收入执行 '!E6</f>
        <v>18097</v>
      </c>
      <c r="C5" s="263">
        <f>SUM(C6:C13)</f>
        <v>19010</v>
      </c>
      <c r="D5" s="239">
        <f>(C5/B5-1)*100</f>
        <v>5.045035088688743</v>
      </c>
      <c r="E5" s="264"/>
      <c r="F5" s="241"/>
    </row>
    <row r="6" spans="1:5" ht="20.25" customHeight="1">
      <c r="A6" s="38" t="s">
        <v>15</v>
      </c>
      <c r="B6" s="265">
        <f>'表3市级收入执行 '!E7</f>
        <v>8457</v>
      </c>
      <c r="C6" s="266">
        <v>8900</v>
      </c>
      <c r="D6" s="239">
        <f aca="true" t="shared" si="0" ref="D6:D22">(C6/B6-1)*100</f>
        <v>5.238264159867567</v>
      </c>
      <c r="E6" s="240"/>
    </row>
    <row r="7" spans="1:5" ht="20.25" customHeight="1">
      <c r="A7" s="38" t="s">
        <v>17</v>
      </c>
      <c r="B7" s="243">
        <f>'表3市级收入执行 '!E8</f>
        <v>1</v>
      </c>
      <c r="C7" s="154"/>
      <c r="D7" s="239"/>
      <c r="E7" s="240"/>
    </row>
    <row r="8" spans="1:5" ht="20.25" customHeight="1">
      <c r="A8" s="38" t="s">
        <v>19</v>
      </c>
      <c r="B8" s="243">
        <f>'表3市级收入执行 '!E9</f>
        <v>6547</v>
      </c>
      <c r="C8" s="154">
        <v>6850</v>
      </c>
      <c r="D8" s="239">
        <f t="shared" si="0"/>
        <v>4.628073926989451</v>
      </c>
      <c r="E8" s="240"/>
    </row>
    <row r="9" spans="1:5" ht="20.25" customHeight="1">
      <c r="A9" s="38" t="s">
        <v>20</v>
      </c>
      <c r="B9" s="243">
        <f>'表3市级收入执行 '!E10</f>
        <v>690</v>
      </c>
      <c r="C9" s="154">
        <v>730</v>
      </c>
      <c r="D9" s="239">
        <f t="shared" si="0"/>
        <v>5.797101449275366</v>
      </c>
      <c r="E9" s="240"/>
    </row>
    <row r="10" spans="1:5" ht="20.25" customHeight="1">
      <c r="A10" s="38" t="s">
        <v>22</v>
      </c>
      <c r="B10" s="243">
        <f>'表3市级收入执行 '!E11</f>
        <v>1396</v>
      </c>
      <c r="C10" s="154">
        <v>1500</v>
      </c>
      <c r="D10" s="239">
        <f t="shared" si="0"/>
        <v>7.449856733524363</v>
      </c>
      <c r="E10" s="267"/>
    </row>
    <row r="11" spans="1:5" ht="20.25" customHeight="1">
      <c r="A11" s="38" t="s">
        <v>23</v>
      </c>
      <c r="B11" s="243">
        <f>'表3市级收入执行 '!E12</f>
        <v>715</v>
      </c>
      <c r="C11" s="154">
        <v>720</v>
      </c>
      <c r="D11" s="239">
        <f t="shared" si="0"/>
        <v>0.6993006993007089</v>
      </c>
      <c r="E11" s="267"/>
    </row>
    <row r="12" spans="1:5" ht="20.25" customHeight="1">
      <c r="A12" s="38" t="s">
        <v>24</v>
      </c>
      <c r="B12" s="243">
        <f>'表3市级收入执行 '!E13</f>
        <v>66</v>
      </c>
      <c r="C12" s="154">
        <v>70</v>
      </c>
      <c r="D12" s="239">
        <f t="shared" si="0"/>
        <v>6.060606060606055</v>
      </c>
      <c r="E12" s="267"/>
    </row>
    <row r="13" spans="1:5" ht="20.25" customHeight="1">
      <c r="A13" s="38" t="s">
        <v>25</v>
      </c>
      <c r="B13" s="243">
        <f>'表3市级收入执行 '!E14</f>
        <v>225</v>
      </c>
      <c r="C13" s="154">
        <v>240</v>
      </c>
      <c r="D13" s="239">
        <f t="shared" si="0"/>
        <v>6.666666666666665</v>
      </c>
      <c r="E13" s="267"/>
    </row>
    <row r="14" spans="1:5" ht="19.5" customHeight="1">
      <c r="A14" s="51" t="s">
        <v>30</v>
      </c>
      <c r="B14" s="243">
        <f>'表3市级收入执行 '!E15</f>
        <v>76183</v>
      </c>
      <c r="C14" s="268">
        <f>SUM(C15:C20)</f>
        <v>78090</v>
      </c>
      <c r="D14" s="239">
        <f t="shared" si="0"/>
        <v>2.5031831248441216</v>
      </c>
      <c r="E14" s="267"/>
    </row>
    <row r="15" spans="1:5" ht="22.5" customHeight="1">
      <c r="A15" s="51" t="s">
        <v>31</v>
      </c>
      <c r="B15" s="243">
        <f>'表3市级收入执行 '!E16</f>
        <v>4776</v>
      </c>
      <c r="C15" s="266">
        <f>1840+4000</f>
        <v>5840</v>
      </c>
      <c r="D15" s="239">
        <f t="shared" si="0"/>
        <v>22.278056951423775</v>
      </c>
      <c r="E15" s="240"/>
    </row>
    <row r="16" spans="1:5" ht="19.5" customHeight="1">
      <c r="A16" s="51" t="s">
        <v>32</v>
      </c>
      <c r="B16" s="243">
        <f>'表3市级收入执行 '!E17</f>
        <v>18562</v>
      </c>
      <c r="C16" s="266">
        <v>20000</v>
      </c>
      <c r="D16" s="239">
        <f t="shared" si="0"/>
        <v>7.747010020471934</v>
      </c>
      <c r="E16" s="240"/>
    </row>
    <row r="17" spans="1:5" ht="19.5" customHeight="1">
      <c r="A17" s="51" t="s">
        <v>33</v>
      </c>
      <c r="B17" s="243">
        <f>'表3市级收入执行 '!E18</f>
        <v>18623</v>
      </c>
      <c r="C17" s="266">
        <v>20000</v>
      </c>
      <c r="D17" s="239">
        <f t="shared" si="0"/>
        <v>7.3940825860495</v>
      </c>
      <c r="E17" s="240"/>
    </row>
    <row r="18" spans="1:5" ht="19.5" customHeight="1">
      <c r="A18" s="51" t="s">
        <v>35</v>
      </c>
      <c r="B18" s="243">
        <f>'表3市级收入执行 '!E19</f>
        <v>16548</v>
      </c>
      <c r="C18" s="266">
        <v>14250</v>
      </c>
      <c r="D18" s="239">
        <f t="shared" si="0"/>
        <v>-13.88687454677302</v>
      </c>
      <c r="E18" s="240"/>
    </row>
    <row r="19" spans="1:5" ht="19.5" customHeight="1">
      <c r="A19" s="51" t="s">
        <v>37</v>
      </c>
      <c r="B19" s="243">
        <f>'表3市级收入执行 '!E21</f>
        <v>11644</v>
      </c>
      <c r="C19" s="266">
        <v>12000</v>
      </c>
      <c r="D19" s="239">
        <f t="shared" si="0"/>
        <v>3.0573686018550372</v>
      </c>
      <c r="E19" s="240"/>
    </row>
    <row r="20" spans="1:5" ht="19.5" customHeight="1">
      <c r="A20" s="51" t="s">
        <v>38</v>
      </c>
      <c r="B20" s="243">
        <f>'表3市级收入执行 '!E22</f>
        <v>5934</v>
      </c>
      <c r="C20" s="266">
        <v>6000</v>
      </c>
      <c r="D20" s="239">
        <f t="shared" si="0"/>
        <v>1.1122345803842304</v>
      </c>
      <c r="E20" s="269"/>
    </row>
    <row r="21" spans="1:5" ht="19.5" customHeight="1">
      <c r="A21" s="51"/>
      <c r="B21" s="266"/>
      <c r="C21" s="266"/>
      <c r="D21" s="239"/>
      <c r="E21" s="267"/>
    </row>
    <row r="22" spans="1:6" ht="23.25" customHeight="1">
      <c r="A22" s="270" t="s">
        <v>39</v>
      </c>
      <c r="B22" s="237">
        <f>B5+B14</f>
        <v>94280</v>
      </c>
      <c r="C22" s="237">
        <f>C5+C14</f>
        <v>97100</v>
      </c>
      <c r="D22" s="239">
        <f t="shared" si="0"/>
        <v>2.9910903691132695</v>
      </c>
      <c r="E22" s="269"/>
      <c r="F22" s="241"/>
    </row>
    <row r="23" spans="1:6" ht="19.5" customHeight="1">
      <c r="A23" s="270"/>
      <c r="B23" s="243"/>
      <c r="C23" s="243"/>
      <c r="D23" s="239"/>
      <c r="E23" s="269"/>
      <c r="F23" s="241"/>
    </row>
    <row r="24" spans="1:6" ht="19.5" customHeight="1">
      <c r="A24" s="271" t="s">
        <v>41</v>
      </c>
      <c r="B24" s="237">
        <f>SUM(B25:B31)</f>
        <v>688124</v>
      </c>
      <c r="C24" s="237">
        <f>SUM(C25:C31)</f>
        <v>603315</v>
      </c>
      <c r="D24" s="239"/>
      <c r="E24" s="267"/>
      <c r="F24" s="241"/>
    </row>
    <row r="25" spans="1:8" ht="19.5" customHeight="1">
      <c r="A25" s="272" t="s">
        <v>42</v>
      </c>
      <c r="B25" s="265">
        <f>'表3市级收入执行 '!E28</f>
        <v>32591</v>
      </c>
      <c r="C25" s="265">
        <v>32519</v>
      </c>
      <c r="D25" s="239"/>
      <c r="E25" s="267"/>
      <c r="F25" s="241"/>
      <c r="H25" s="241"/>
    </row>
    <row r="26" spans="1:8" ht="19.5" customHeight="1">
      <c r="A26" s="272" t="s">
        <v>43</v>
      </c>
      <c r="B26" s="265">
        <f>'表3市级收入执行 '!E29</f>
        <v>93066</v>
      </c>
      <c r="C26" s="265">
        <v>60741</v>
      </c>
      <c r="D26" s="239"/>
      <c r="E26" s="267"/>
      <c r="F26" s="241"/>
      <c r="H26" s="241"/>
    </row>
    <row r="27" spans="1:8" ht="19.5" customHeight="1">
      <c r="A27" s="273" t="s">
        <v>44</v>
      </c>
      <c r="B27" s="265">
        <f>'表3市级收入执行 '!E30</f>
        <v>29877</v>
      </c>
      <c r="C27" s="265">
        <v>18012</v>
      </c>
      <c r="D27" s="239"/>
      <c r="E27" s="274"/>
      <c r="F27" s="241"/>
      <c r="H27" s="241"/>
    </row>
    <row r="28" spans="1:6" ht="19.5" customHeight="1">
      <c r="A28" s="273" t="s">
        <v>117</v>
      </c>
      <c r="B28" s="265">
        <f>'表3市级收入执行 '!E31</f>
        <v>246774</v>
      </c>
      <c r="C28" s="265">
        <v>250000</v>
      </c>
      <c r="D28" s="239"/>
      <c r="E28" s="269" t="s">
        <v>908</v>
      </c>
      <c r="F28" s="241"/>
    </row>
    <row r="29" spans="1:6" ht="19.5" customHeight="1">
      <c r="A29" s="273" t="s">
        <v>45</v>
      </c>
      <c r="B29" s="265">
        <f>'表3市级收入执行 '!E32</f>
        <v>40188</v>
      </c>
      <c r="C29" s="265">
        <f>'表2市级一般公共预算支出草案'!B38</f>
        <v>35899</v>
      </c>
      <c r="D29" s="239"/>
      <c r="E29" s="269"/>
      <c r="F29" s="241"/>
    </row>
    <row r="30" spans="1:6" ht="21" customHeight="1">
      <c r="A30" s="273" t="s">
        <v>46</v>
      </c>
      <c r="B30" s="265">
        <f>'表3市级收入执行 '!E33</f>
        <v>58428</v>
      </c>
      <c r="C30" s="265">
        <v>58344</v>
      </c>
      <c r="D30" s="239"/>
      <c r="E30" s="240"/>
      <c r="F30" s="241"/>
    </row>
    <row r="31" spans="1:6" ht="19.5" customHeight="1">
      <c r="A31" s="273" t="s">
        <v>47</v>
      </c>
      <c r="B31" s="265">
        <f>'表3市级收入执行 '!E34</f>
        <v>187200</v>
      </c>
      <c r="C31" s="265">
        <f>42600+6000+99200</f>
        <v>147800</v>
      </c>
      <c r="D31" s="239"/>
      <c r="E31" s="274"/>
      <c r="F31" s="241"/>
    </row>
    <row r="32" spans="1:6" ht="19.5" customHeight="1">
      <c r="A32" s="275"/>
      <c r="B32" s="265"/>
      <c r="C32" s="265"/>
      <c r="D32" s="239"/>
      <c r="E32" s="274"/>
      <c r="F32" s="241"/>
    </row>
    <row r="33" spans="1:6" ht="19.5" customHeight="1">
      <c r="A33" s="58" t="s">
        <v>909</v>
      </c>
      <c r="B33" s="276">
        <f>B22+B24</f>
        <v>782404</v>
      </c>
      <c r="C33" s="276">
        <f>C22+C24</f>
        <v>700415</v>
      </c>
      <c r="D33" s="261">
        <f>(C33/B33-1)*100</f>
        <v>-10.47911309246885</v>
      </c>
      <c r="E33" s="277"/>
      <c r="F33" s="241"/>
    </row>
    <row r="34" ht="14.25">
      <c r="A34" s="227"/>
    </row>
    <row r="35" ht="14.25">
      <c r="A35" s="227"/>
    </row>
    <row r="36" spans="1:3" ht="14.25">
      <c r="A36" s="227"/>
      <c r="B36" s="241"/>
      <c r="C36" s="241"/>
    </row>
    <row r="37" ht="14.25">
      <c r="A37" s="227"/>
    </row>
    <row r="38" ht="14.25">
      <c r="A38" s="227"/>
    </row>
  </sheetData>
  <sheetProtection/>
  <mergeCells count="1">
    <mergeCell ref="A2:E2"/>
  </mergeCells>
  <printOptions horizontalCentered="1"/>
  <pageMargins left="0.39" right="0.39" top="0.75" bottom="0.9" header="0.51" footer="0.51"/>
  <pageSetup horizontalDpi="600" verticalDpi="600" orientation="portrait" paperSize="9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</sheetPr>
  <dimension ref="A1:G45"/>
  <sheetViews>
    <sheetView workbookViewId="0" topLeftCell="A1">
      <selection activeCell="A2" sqref="A2:E2"/>
    </sheetView>
  </sheetViews>
  <sheetFormatPr defaultColWidth="9.00390625" defaultRowHeight="14.25"/>
  <cols>
    <col min="1" max="1" width="26.25390625" style="61" customWidth="1"/>
    <col min="2" max="2" width="9.50390625" style="61" customWidth="1"/>
    <col min="3" max="3" width="9.375" style="61" customWidth="1"/>
    <col min="4" max="4" width="10.25390625" style="61" customWidth="1"/>
    <col min="5" max="5" width="27.50390625" style="61" customWidth="1"/>
    <col min="6" max="16384" width="9.00390625" style="61" customWidth="1"/>
  </cols>
  <sheetData>
    <row r="1" spans="1:2" ht="14.25">
      <c r="A1" s="227" t="s">
        <v>50</v>
      </c>
      <c r="B1" s="228"/>
    </row>
    <row r="2" spans="1:5" ht="21.75">
      <c r="A2" s="229" t="s">
        <v>910</v>
      </c>
      <c r="B2" s="229"/>
      <c r="C2" s="229"/>
      <c r="D2" s="229"/>
      <c r="E2" s="229"/>
    </row>
    <row r="3" spans="1:5" ht="15.75" customHeight="1">
      <c r="A3" s="230"/>
      <c r="B3" s="230"/>
      <c r="D3" s="64"/>
      <c r="E3" s="64" t="s">
        <v>3</v>
      </c>
    </row>
    <row r="4" spans="1:5" ht="28.5" customHeight="1">
      <c r="A4" s="231" t="s">
        <v>52</v>
      </c>
      <c r="B4" s="232" t="s">
        <v>137</v>
      </c>
      <c r="C4" s="233" t="s">
        <v>906</v>
      </c>
      <c r="D4" s="234" t="s">
        <v>911</v>
      </c>
      <c r="E4" s="235" t="s">
        <v>912</v>
      </c>
    </row>
    <row r="5" spans="1:7" ht="18" customHeight="1">
      <c r="A5" s="236" t="s">
        <v>55</v>
      </c>
      <c r="B5" s="237">
        <f>'表4市级支出执行'!E6</f>
        <v>38907</v>
      </c>
      <c r="C5" s="238">
        <v>41429</v>
      </c>
      <c r="D5" s="239">
        <f>C5/B5%-100</f>
        <v>6.482124039375947</v>
      </c>
      <c r="E5" s="240"/>
      <c r="G5" s="241"/>
    </row>
    <row r="6" spans="1:7" ht="18" customHeight="1">
      <c r="A6" s="242" t="s">
        <v>56</v>
      </c>
      <c r="B6" s="237">
        <f>'表4市级支出执行'!E7</f>
        <v>1026</v>
      </c>
      <c r="C6" s="243">
        <v>1530</v>
      </c>
      <c r="D6" s="239">
        <f aca="true" t="shared" si="0" ref="D6:D28">C6/B6%-100</f>
        <v>49.12280701754386</v>
      </c>
      <c r="E6" s="240"/>
      <c r="G6" s="241"/>
    </row>
    <row r="7" spans="1:7" ht="18" customHeight="1">
      <c r="A7" s="242" t="s">
        <v>57</v>
      </c>
      <c r="B7" s="237">
        <f>'表4市级支出执行'!E8</f>
        <v>74910</v>
      </c>
      <c r="C7" s="244">
        <v>76809</v>
      </c>
      <c r="D7" s="239">
        <f t="shared" si="0"/>
        <v>2.5350420504605466</v>
      </c>
      <c r="E7" s="240"/>
      <c r="G7" s="241"/>
    </row>
    <row r="8" spans="1:7" ht="18" customHeight="1">
      <c r="A8" s="242" t="s">
        <v>58</v>
      </c>
      <c r="B8" s="237">
        <f>'表4市级支出执行'!E9</f>
        <v>46071</v>
      </c>
      <c r="C8" s="244">
        <f>45351+800</f>
        <v>46151</v>
      </c>
      <c r="D8" s="239">
        <f t="shared" si="0"/>
        <v>0.17364502615528465</v>
      </c>
      <c r="E8" s="245"/>
      <c r="G8" s="241"/>
    </row>
    <row r="9" spans="1:7" ht="18" customHeight="1">
      <c r="A9" s="242" t="s">
        <v>59</v>
      </c>
      <c r="B9" s="237">
        <f>'表4市级支出执行'!E10</f>
        <v>6685</v>
      </c>
      <c r="C9" s="244">
        <v>7548</v>
      </c>
      <c r="D9" s="239">
        <f t="shared" si="0"/>
        <v>12.909498878085273</v>
      </c>
      <c r="E9" s="240"/>
      <c r="G9" s="241"/>
    </row>
    <row r="10" spans="1:7" ht="18" customHeight="1">
      <c r="A10" s="242" t="s">
        <v>60</v>
      </c>
      <c r="B10" s="237">
        <f>'表4市级支出执行'!E11</f>
        <v>12162</v>
      </c>
      <c r="C10" s="244">
        <f>13318+110</f>
        <v>13428</v>
      </c>
      <c r="D10" s="239">
        <f t="shared" si="0"/>
        <v>10.409472126295015</v>
      </c>
      <c r="E10" s="240"/>
      <c r="G10" s="241"/>
    </row>
    <row r="11" spans="1:7" ht="18" customHeight="1">
      <c r="A11" s="242" t="s">
        <v>62</v>
      </c>
      <c r="B11" s="237">
        <f>'表4市级支出执行'!E12</f>
        <v>62208</v>
      </c>
      <c r="C11" s="244">
        <v>53301</v>
      </c>
      <c r="D11" s="239">
        <f t="shared" si="0"/>
        <v>-14.318094135802468</v>
      </c>
      <c r="E11" s="240"/>
      <c r="G11" s="241"/>
    </row>
    <row r="12" spans="1:7" ht="18" customHeight="1">
      <c r="A12" s="242" t="s">
        <v>63</v>
      </c>
      <c r="B12" s="237">
        <f>'表4市级支出执行'!E13</f>
        <v>23237</v>
      </c>
      <c r="C12" s="244">
        <v>22446</v>
      </c>
      <c r="D12" s="239">
        <f t="shared" si="0"/>
        <v>-3.404053879588588</v>
      </c>
      <c r="E12" s="245"/>
      <c r="G12" s="241"/>
    </row>
    <row r="13" spans="1:7" ht="18" customHeight="1">
      <c r="A13" s="242" t="s">
        <v>64</v>
      </c>
      <c r="B13" s="237">
        <f>'表4市级支出执行'!E14</f>
        <v>6666</v>
      </c>
      <c r="C13" s="244">
        <v>3172</v>
      </c>
      <c r="D13" s="239">
        <f t="shared" si="0"/>
        <v>-52.415241524152414</v>
      </c>
      <c r="E13" s="245"/>
      <c r="G13" s="241"/>
    </row>
    <row r="14" spans="1:7" ht="18" customHeight="1">
      <c r="A14" s="242" t="s">
        <v>66</v>
      </c>
      <c r="B14" s="237">
        <f>'表4市级支出执行'!E15</f>
        <v>8280</v>
      </c>
      <c r="C14" s="244">
        <v>6882</v>
      </c>
      <c r="D14" s="239">
        <f t="shared" si="0"/>
        <v>-16.884057971014485</v>
      </c>
      <c r="E14" s="245"/>
      <c r="G14" s="241"/>
    </row>
    <row r="15" spans="1:7" ht="18" customHeight="1">
      <c r="A15" s="242" t="s">
        <v>67</v>
      </c>
      <c r="B15" s="237">
        <f>'表4市级支出执行'!E16</f>
        <v>22003</v>
      </c>
      <c r="C15" s="244">
        <v>11619</v>
      </c>
      <c r="D15" s="239">
        <f t="shared" si="0"/>
        <v>-47.19356451392992</v>
      </c>
      <c r="E15" s="245"/>
      <c r="G15" s="241"/>
    </row>
    <row r="16" spans="1:7" ht="18" customHeight="1">
      <c r="A16" s="242" t="s">
        <v>69</v>
      </c>
      <c r="B16" s="237">
        <f>'表4市级支出执行'!E17</f>
        <v>32629</v>
      </c>
      <c r="C16" s="244">
        <v>23610</v>
      </c>
      <c r="D16" s="239">
        <f t="shared" si="0"/>
        <v>-27.64105550277361</v>
      </c>
      <c r="E16" s="245"/>
      <c r="G16" s="241"/>
    </row>
    <row r="17" spans="1:7" ht="18" customHeight="1">
      <c r="A17" s="246" t="s">
        <v>71</v>
      </c>
      <c r="B17" s="237">
        <f>'表4市级支出执行'!E18</f>
        <v>5539</v>
      </c>
      <c r="C17" s="244">
        <v>7680</v>
      </c>
      <c r="D17" s="239">
        <f t="shared" si="0"/>
        <v>38.65318649575735</v>
      </c>
      <c r="E17" s="245"/>
      <c r="G17" s="241"/>
    </row>
    <row r="18" spans="1:7" ht="18" customHeight="1">
      <c r="A18" s="246" t="s">
        <v>72</v>
      </c>
      <c r="B18" s="237">
        <f>'表4市级支出执行'!E19</f>
        <v>2853</v>
      </c>
      <c r="C18" s="244">
        <v>2017</v>
      </c>
      <c r="D18" s="239">
        <f t="shared" si="0"/>
        <v>-29.302488608482307</v>
      </c>
      <c r="E18" s="245"/>
      <c r="G18" s="241"/>
    </row>
    <row r="19" spans="1:7" ht="18" customHeight="1">
      <c r="A19" s="246" t="s">
        <v>73</v>
      </c>
      <c r="B19" s="237">
        <f>'表4市级支出执行'!E20</f>
        <v>225</v>
      </c>
      <c r="C19" s="244">
        <v>225</v>
      </c>
      <c r="D19" s="239">
        <f t="shared" si="0"/>
        <v>0</v>
      </c>
      <c r="E19" s="247"/>
      <c r="G19" s="241"/>
    </row>
    <row r="20" spans="1:7" ht="18" customHeight="1">
      <c r="A20" s="246" t="s">
        <v>75</v>
      </c>
      <c r="B20" s="237">
        <f>'表4市级支出执行'!E21</f>
        <v>1212</v>
      </c>
      <c r="C20" s="244">
        <v>1300</v>
      </c>
      <c r="D20" s="239">
        <f t="shared" si="0"/>
        <v>7.2607260726072695</v>
      </c>
      <c r="E20" s="245"/>
      <c r="G20" s="241"/>
    </row>
    <row r="21" spans="1:7" ht="18" customHeight="1">
      <c r="A21" s="246" t="s">
        <v>76</v>
      </c>
      <c r="B21" s="237">
        <f>'表4市级支出执行'!E22</f>
        <v>7809</v>
      </c>
      <c r="C21" s="244">
        <v>7839</v>
      </c>
      <c r="D21" s="239">
        <f t="shared" si="0"/>
        <v>0.3841721091048811</v>
      </c>
      <c r="E21" s="245"/>
      <c r="G21" s="241"/>
    </row>
    <row r="22" spans="1:7" ht="18" customHeight="1">
      <c r="A22" s="246" t="s">
        <v>77</v>
      </c>
      <c r="B22" s="237">
        <f>'表4市级支出执行'!E23</f>
        <v>18136</v>
      </c>
      <c r="C22" s="244">
        <v>17807</v>
      </c>
      <c r="D22" s="239">
        <f t="shared" si="0"/>
        <v>-1.8140714600794041</v>
      </c>
      <c r="E22" s="247"/>
      <c r="G22" s="241"/>
    </row>
    <row r="23" spans="1:7" ht="18" customHeight="1">
      <c r="A23" s="246" t="s">
        <v>78</v>
      </c>
      <c r="B23" s="237">
        <f>'表4市级支出执行'!E24</f>
        <v>814</v>
      </c>
      <c r="C23" s="244">
        <v>614</v>
      </c>
      <c r="D23" s="239">
        <f t="shared" si="0"/>
        <v>-24.57002457002457</v>
      </c>
      <c r="E23" s="247"/>
      <c r="G23" s="241"/>
    </row>
    <row r="24" spans="1:7" ht="18" customHeight="1">
      <c r="A24" s="246" t="s">
        <v>80</v>
      </c>
      <c r="B24" s="237"/>
      <c r="C24" s="244">
        <v>12000</v>
      </c>
      <c r="D24" s="239"/>
      <c r="E24" s="245"/>
      <c r="G24" s="241"/>
    </row>
    <row r="25" spans="1:7" ht="18" customHeight="1">
      <c r="A25" s="246" t="s">
        <v>81</v>
      </c>
      <c r="B25" s="237">
        <f>'表4市级支出执行'!E26</f>
        <v>12938</v>
      </c>
      <c r="C25" s="244">
        <v>14235</v>
      </c>
      <c r="D25" s="239">
        <f t="shared" si="0"/>
        <v>10.0247333436389</v>
      </c>
      <c r="E25" s="245"/>
      <c r="G25" s="241"/>
    </row>
    <row r="26" spans="1:7" ht="18" customHeight="1">
      <c r="A26" s="246" t="s">
        <v>83</v>
      </c>
      <c r="B26" s="237">
        <f>'表4市级支出执行'!E27</f>
        <v>392</v>
      </c>
      <c r="C26" s="244">
        <v>25625</v>
      </c>
      <c r="D26" s="239">
        <f t="shared" si="0"/>
        <v>6436.989795918367</v>
      </c>
      <c r="E26" s="248" t="s">
        <v>913</v>
      </c>
      <c r="G26" s="241"/>
    </row>
    <row r="27" spans="1:7" ht="18.75" customHeight="1">
      <c r="A27" s="249"/>
      <c r="B27" s="250"/>
      <c r="C27" s="243"/>
      <c r="D27" s="239"/>
      <c r="E27" s="245"/>
      <c r="G27" s="241"/>
    </row>
    <row r="28" spans="1:7" ht="22.5" customHeight="1">
      <c r="A28" s="251" t="s">
        <v>84</v>
      </c>
      <c r="B28" s="243">
        <f>SUM(B5:B26)</f>
        <v>384702</v>
      </c>
      <c r="C28" s="243">
        <f>SUM(C5:C26)</f>
        <v>397267</v>
      </c>
      <c r="D28" s="239">
        <f t="shared" si="0"/>
        <v>3.266164459763658</v>
      </c>
      <c r="E28" s="245"/>
      <c r="F28" s="241"/>
      <c r="G28" s="241"/>
    </row>
    <row r="29" spans="1:7" ht="18.75" customHeight="1">
      <c r="A29" s="251"/>
      <c r="B29" s="252"/>
      <c r="C29" s="243"/>
      <c r="D29" s="239"/>
      <c r="E29" s="245"/>
      <c r="G29" s="241"/>
    </row>
    <row r="30" spans="1:7" ht="18.75" customHeight="1">
      <c r="A30" s="253" t="s">
        <v>85</v>
      </c>
      <c r="B30" s="243">
        <f>B31</f>
        <v>7200</v>
      </c>
      <c r="C30" s="252">
        <f>C31</f>
        <v>42600</v>
      </c>
      <c r="D30" s="239"/>
      <c r="E30" s="245"/>
      <c r="G30" s="241"/>
    </row>
    <row r="31" spans="1:7" ht="18.75" customHeight="1">
      <c r="A31" s="254" t="s">
        <v>86</v>
      </c>
      <c r="B31" s="252">
        <f>'表4市级支出执行'!E32</f>
        <v>7200</v>
      </c>
      <c r="C31" s="243">
        <v>42600</v>
      </c>
      <c r="D31" s="239"/>
      <c r="E31" s="240"/>
      <c r="G31" s="241"/>
    </row>
    <row r="32" spans="1:7" ht="18.75" customHeight="1">
      <c r="A32" s="251"/>
      <c r="B32" s="252"/>
      <c r="C32" s="243"/>
      <c r="D32" s="239"/>
      <c r="E32" s="240"/>
      <c r="G32" s="241"/>
    </row>
    <row r="33" spans="1:7" ht="19.5" customHeight="1">
      <c r="A33" s="255" t="s">
        <v>88</v>
      </c>
      <c r="B33" s="243">
        <f>SUM(B34:B38)</f>
        <v>390502</v>
      </c>
      <c r="C33" s="243">
        <f>SUM(C34:C38)</f>
        <v>260548</v>
      </c>
      <c r="D33" s="239"/>
      <c r="E33" s="248"/>
      <c r="G33" s="241"/>
    </row>
    <row r="34" spans="1:7" ht="19.5" customHeight="1">
      <c r="A34" s="256" t="s">
        <v>267</v>
      </c>
      <c r="B34" s="243">
        <f>'表4市级支出执行'!E35</f>
        <v>18920</v>
      </c>
      <c r="C34" s="243">
        <v>21000</v>
      </c>
      <c r="D34" s="239"/>
      <c r="E34" s="248"/>
      <c r="G34" s="241"/>
    </row>
    <row r="35" spans="1:7" ht="19.5" customHeight="1">
      <c r="A35" s="256" t="s">
        <v>914</v>
      </c>
      <c r="B35" s="243">
        <v>122975</v>
      </c>
      <c r="C35" s="243">
        <v>114973</v>
      </c>
      <c r="D35" s="239"/>
      <c r="E35" s="257"/>
      <c r="G35" s="241"/>
    </row>
    <row r="36" spans="1:7" ht="19.5" customHeight="1">
      <c r="A36" s="256" t="s">
        <v>90</v>
      </c>
      <c r="B36" s="243">
        <f>55708+7000</f>
        <v>62708</v>
      </c>
      <c r="C36" s="243"/>
      <c r="D36" s="239"/>
      <c r="E36" s="257"/>
      <c r="G36" s="241"/>
    </row>
    <row r="37" spans="1:7" ht="19.5" customHeight="1">
      <c r="A37" s="256" t="s">
        <v>915</v>
      </c>
      <c r="B37" s="243">
        <v>150000</v>
      </c>
      <c r="C37" s="243">
        <v>99200</v>
      </c>
      <c r="D37" s="239"/>
      <c r="E37" s="257" t="s">
        <v>916</v>
      </c>
      <c r="G37" s="241"/>
    </row>
    <row r="38" spans="1:7" ht="19.5" customHeight="1">
      <c r="A38" s="256" t="s">
        <v>92</v>
      </c>
      <c r="B38" s="243">
        <f>27899+8000</f>
        <v>35899</v>
      </c>
      <c r="C38" s="243">
        <f>18329-110-800+8000-44</f>
        <v>25375</v>
      </c>
      <c r="D38" s="239"/>
      <c r="E38" s="257"/>
      <c r="G38" s="241"/>
    </row>
    <row r="39" spans="1:7" ht="19.5" customHeight="1">
      <c r="A39" s="258"/>
      <c r="B39" s="244"/>
      <c r="C39" s="244"/>
      <c r="D39" s="239"/>
      <c r="E39" s="248"/>
      <c r="G39" s="241"/>
    </row>
    <row r="40" spans="1:7" ht="19.5" customHeight="1">
      <c r="A40" s="259" t="s">
        <v>917</v>
      </c>
      <c r="B40" s="260">
        <f>B28+B30+B33</f>
        <v>782404</v>
      </c>
      <c r="C40" s="260">
        <f>C28+C30+C33</f>
        <v>700415</v>
      </c>
      <c r="D40" s="261">
        <f>C40/B40%-100</f>
        <v>-10.47911309246885</v>
      </c>
      <c r="E40" s="262"/>
      <c r="G40" s="241"/>
    </row>
    <row r="42" ht="14.25">
      <c r="C42" s="241"/>
    </row>
    <row r="43" ht="14.25">
      <c r="C43" s="241"/>
    </row>
    <row r="45" ht="14.25">
      <c r="C45" s="241"/>
    </row>
  </sheetData>
  <sheetProtection/>
  <mergeCells count="1">
    <mergeCell ref="A2:E2"/>
  </mergeCells>
  <printOptions horizontalCentered="1"/>
  <pageMargins left="0.39" right="0.39" top="0.75" bottom="0.9" header="0.51" footer="0.51"/>
  <pageSetup horizontalDpi="600" verticalDpi="600" orientation="portrait" paperSize="9" scale="9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1"/>
  </sheetPr>
  <dimension ref="A1:F28"/>
  <sheetViews>
    <sheetView workbookViewId="0" topLeftCell="A13">
      <selection activeCell="C21" sqref="C21"/>
    </sheetView>
  </sheetViews>
  <sheetFormatPr defaultColWidth="9.00390625" defaultRowHeight="14.25"/>
  <cols>
    <col min="1" max="1" width="27.625" style="183" customWidth="1"/>
    <col min="2" max="2" width="9.125" style="184" customWidth="1"/>
    <col min="3" max="3" width="10.125" style="184" customWidth="1"/>
    <col min="4" max="4" width="11.00390625" style="184" customWidth="1"/>
    <col min="5" max="5" width="22.125" style="184" customWidth="1"/>
    <col min="6" max="6" width="15.125" style="183" customWidth="1"/>
    <col min="7" max="16384" width="9.00390625" style="183" customWidth="1"/>
  </cols>
  <sheetData>
    <row r="1" spans="1:2" ht="14.25">
      <c r="A1" s="185" t="s">
        <v>95</v>
      </c>
      <c r="B1" s="214"/>
    </row>
    <row r="2" spans="1:5" ht="25.5" customHeight="1">
      <c r="A2" s="186" t="s">
        <v>918</v>
      </c>
      <c r="B2" s="186"/>
      <c r="C2" s="186"/>
      <c r="D2" s="186"/>
      <c r="E2" s="186"/>
    </row>
    <row r="3" spans="1:5" ht="22.5" customHeight="1">
      <c r="A3" s="215"/>
      <c r="B3" s="216"/>
      <c r="C3" s="187"/>
      <c r="D3" s="187"/>
      <c r="E3" s="187" t="s">
        <v>3</v>
      </c>
    </row>
    <row r="4" spans="1:5" ht="33.75" customHeight="1">
      <c r="A4" s="217" t="s">
        <v>136</v>
      </c>
      <c r="B4" s="190" t="s">
        <v>137</v>
      </c>
      <c r="C4" s="190" t="s">
        <v>906</v>
      </c>
      <c r="D4" s="218" t="s">
        <v>919</v>
      </c>
      <c r="E4" s="190" t="s">
        <v>139</v>
      </c>
    </row>
    <row r="5" spans="1:5" ht="23.25" customHeight="1">
      <c r="A5" s="191" t="s">
        <v>140</v>
      </c>
      <c r="B5" s="192">
        <f>'表7市级基金收入执行'!E5</f>
        <v>423</v>
      </c>
      <c r="C5" s="192"/>
      <c r="D5" s="193"/>
      <c r="E5" s="193" t="s">
        <v>141</v>
      </c>
    </row>
    <row r="6" spans="1:5" ht="23.25" customHeight="1">
      <c r="A6" s="191" t="s">
        <v>142</v>
      </c>
      <c r="B6" s="192">
        <f>'表7市级基金收入执行'!E6</f>
        <v>1212</v>
      </c>
      <c r="C6" s="192"/>
      <c r="D6" s="193"/>
      <c r="E6" s="193" t="s">
        <v>141</v>
      </c>
    </row>
    <row r="7" spans="1:5" ht="23.25" customHeight="1">
      <c r="A7" s="191" t="s">
        <v>143</v>
      </c>
      <c r="B7" s="192">
        <f>'表7市级基金收入执行'!E7</f>
        <v>4684</v>
      </c>
      <c r="C7" s="192">
        <v>15750</v>
      </c>
      <c r="D7" s="193">
        <f aca="true" t="shared" si="0" ref="D7:D12">(C7/B7-1)*100</f>
        <v>236.25106746370625</v>
      </c>
      <c r="E7" s="219"/>
    </row>
    <row r="8" spans="1:5" ht="23.25" customHeight="1">
      <c r="A8" s="191" t="s">
        <v>144</v>
      </c>
      <c r="B8" s="192">
        <f>'表7市级基金收入执行'!E8</f>
        <v>4143</v>
      </c>
      <c r="C8" s="192">
        <v>6000</v>
      </c>
      <c r="D8" s="193">
        <f t="shared" si="0"/>
        <v>44.8225923244026</v>
      </c>
      <c r="E8" s="219"/>
    </row>
    <row r="9" spans="1:5" ht="23.25" customHeight="1">
      <c r="A9" s="191" t="s">
        <v>145</v>
      </c>
      <c r="B9" s="192">
        <f>'表7市级基金收入执行'!E9</f>
        <v>101700</v>
      </c>
      <c r="C9" s="192">
        <f>309000-15750-6000</f>
        <v>287250</v>
      </c>
      <c r="D9" s="193">
        <f t="shared" si="0"/>
        <v>182.44837758112092</v>
      </c>
      <c r="E9" s="219"/>
    </row>
    <row r="10" spans="1:6" ht="23.25" customHeight="1">
      <c r="A10" s="191" t="s">
        <v>146</v>
      </c>
      <c r="B10" s="192"/>
      <c r="C10" s="192"/>
      <c r="D10" s="193"/>
      <c r="E10" s="198"/>
      <c r="F10" s="195"/>
    </row>
    <row r="11" spans="1:5" ht="23.25" customHeight="1">
      <c r="A11" s="191" t="s">
        <v>147</v>
      </c>
      <c r="B11" s="192">
        <f>'表7市级基金收入执行'!E11</f>
        <v>8179</v>
      </c>
      <c r="C11" s="192">
        <v>8200</v>
      </c>
      <c r="D11" s="193">
        <f t="shared" si="0"/>
        <v>0.2567551045359995</v>
      </c>
      <c r="E11" s="198"/>
    </row>
    <row r="12" spans="1:5" ht="23.25" customHeight="1">
      <c r="A12" s="191" t="s">
        <v>192</v>
      </c>
      <c r="B12" s="192">
        <f>'表7市级基金收入执行'!E12</f>
        <v>2573</v>
      </c>
      <c r="C12" s="192">
        <v>2577</v>
      </c>
      <c r="D12" s="193">
        <f t="shared" si="0"/>
        <v>0.1554605518849561</v>
      </c>
      <c r="E12" s="198"/>
    </row>
    <row r="13" spans="1:5" ht="23.25" customHeight="1">
      <c r="A13" s="191" t="s">
        <v>193</v>
      </c>
      <c r="B13" s="192"/>
      <c r="C13" s="192"/>
      <c r="D13" s="193"/>
      <c r="E13" s="198"/>
    </row>
    <row r="14" spans="1:5" ht="23.25" customHeight="1">
      <c r="A14" s="191"/>
      <c r="B14" s="192"/>
      <c r="C14" s="192"/>
      <c r="D14" s="193"/>
      <c r="E14" s="198"/>
    </row>
    <row r="15" spans="1:5" ht="23.25" customHeight="1">
      <c r="A15" s="191"/>
      <c r="B15" s="192"/>
      <c r="C15" s="192"/>
      <c r="D15" s="193"/>
      <c r="E15" s="194"/>
    </row>
    <row r="16" spans="1:5" ht="23.25" customHeight="1">
      <c r="A16" s="220" t="s">
        <v>39</v>
      </c>
      <c r="B16" s="192">
        <f>SUM(B5:B13)</f>
        <v>122914</v>
      </c>
      <c r="C16" s="192">
        <f>SUM(C5:C13)</f>
        <v>319777</v>
      </c>
      <c r="D16" s="193">
        <f>(C16/B16-1)*100</f>
        <v>160.163203540687</v>
      </c>
      <c r="E16" s="198"/>
    </row>
    <row r="17" spans="1:5" ht="23.25" customHeight="1">
      <c r="A17" s="220"/>
      <c r="B17" s="192"/>
      <c r="C17" s="192"/>
      <c r="D17" s="193"/>
      <c r="E17" s="198"/>
    </row>
    <row r="18" spans="1:5" ht="23.25" customHeight="1">
      <c r="A18" s="206"/>
      <c r="B18" s="192"/>
      <c r="C18" s="192"/>
      <c r="D18" s="221"/>
      <c r="E18" s="222"/>
    </row>
    <row r="19" spans="1:5" ht="23.25" customHeight="1">
      <c r="A19" s="192" t="s">
        <v>151</v>
      </c>
      <c r="B19" s="192">
        <f>SUM(B20,B23:B25)</f>
        <v>320297</v>
      </c>
      <c r="C19" s="192">
        <f>SUM(C20,C23:C25)</f>
        <v>39647</v>
      </c>
      <c r="D19" s="193"/>
      <c r="E19" s="198"/>
    </row>
    <row r="20" spans="1:5" ht="23.25" customHeight="1">
      <c r="A20" s="192" t="s">
        <v>152</v>
      </c>
      <c r="B20" s="192">
        <f>B21+B22</f>
        <v>678</v>
      </c>
      <c r="C20" s="192">
        <f>C21+C22</f>
        <v>500</v>
      </c>
      <c r="D20" s="193"/>
      <c r="E20" s="198"/>
    </row>
    <row r="21" spans="1:5" s="183" customFormat="1" ht="23.25" customHeight="1">
      <c r="A21" s="192" t="s">
        <v>153</v>
      </c>
      <c r="B21" s="192">
        <v>678</v>
      </c>
      <c r="C21" s="192">
        <v>500</v>
      </c>
      <c r="D21" s="193"/>
      <c r="E21" s="194"/>
    </row>
    <row r="22" spans="1:5" ht="23.25" customHeight="1">
      <c r="A22" s="192" t="s">
        <v>194</v>
      </c>
      <c r="B22" s="192"/>
      <c r="C22" s="192"/>
      <c r="D22" s="193"/>
      <c r="E22" s="223"/>
    </row>
    <row r="23" spans="1:5" ht="23.25" customHeight="1">
      <c r="A23" s="192" t="s">
        <v>156</v>
      </c>
      <c r="B23" s="192">
        <v>65619</v>
      </c>
      <c r="C23" s="192">
        <f>'表4市级政府性基金支出草案'!B30</f>
        <v>30747</v>
      </c>
      <c r="D23" s="193"/>
      <c r="E23" s="193"/>
    </row>
    <row r="24" spans="1:6" ht="23.25" customHeight="1">
      <c r="A24" s="192" t="s">
        <v>195</v>
      </c>
      <c r="B24" s="192"/>
      <c r="C24" s="192"/>
      <c r="D24" s="193"/>
      <c r="E24" s="193"/>
      <c r="F24" s="195"/>
    </row>
    <row r="25" spans="1:6" ht="23.25" customHeight="1">
      <c r="A25" s="192" t="s">
        <v>920</v>
      </c>
      <c r="B25" s="192">
        <v>254000</v>
      </c>
      <c r="C25" s="192">
        <v>8400</v>
      </c>
      <c r="D25" s="193"/>
      <c r="E25" s="224"/>
      <c r="F25" s="195"/>
    </row>
    <row r="26" spans="1:6" ht="23.25" customHeight="1">
      <c r="A26" s="192"/>
      <c r="B26" s="192"/>
      <c r="C26" s="192"/>
      <c r="D26" s="193"/>
      <c r="E26" s="224"/>
      <c r="F26" s="195"/>
    </row>
    <row r="27" spans="1:6" ht="23.25" customHeight="1">
      <c r="A27" s="206"/>
      <c r="B27" s="192"/>
      <c r="C27" s="192"/>
      <c r="D27" s="193"/>
      <c r="E27" s="193"/>
      <c r="F27" s="225"/>
    </row>
    <row r="28" spans="1:6" ht="23.25" customHeight="1">
      <c r="A28" s="226" t="s">
        <v>921</v>
      </c>
      <c r="B28" s="208">
        <f>B19+B16</f>
        <v>443211</v>
      </c>
      <c r="C28" s="208">
        <f>C19+C16</f>
        <v>359424</v>
      </c>
      <c r="D28" s="209">
        <f>(C28/B28-1)*100</f>
        <v>-18.90453982414696</v>
      </c>
      <c r="E28" s="209"/>
      <c r="F28" s="225"/>
    </row>
    <row r="29" ht="21.75" customHeight="1"/>
    <row r="30" ht="25.5" customHeight="1"/>
    <row r="31" ht="18.75" customHeight="1"/>
  </sheetData>
  <sheetProtection/>
  <mergeCells count="1">
    <mergeCell ref="A2:E2"/>
  </mergeCells>
  <printOptions horizontalCentered="1"/>
  <pageMargins left="0.39" right="0.39" top="0.75" bottom="0.9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45"/>
  <sheetViews>
    <sheetView view="pageBreakPreview" zoomScaleSheetLayoutView="100" workbookViewId="0" topLeftCell="A1">
      <selection activeCell="A2" sqref="A2:H2"/>
    </sheetView>
  </sheetViews>
  <sheetFormatPr defaultColWidth="9.00390625" defaultRowHeight="14.25"/>
  <cols>
    <col min="1" max="1" width="22.00390625" style="61" customWidth="1"/>
    <col min="2" max="3" width="9.00390625" style="61" customWidth="1"/>
    <col min="4" max="5" width="8.50390625" style="61" customWidth="1"/>
    <col min="6" max="6" width="9.25390625" style="61" customWidth="1"/>
    <col min="7" max="7" width="8.125" style="61" customWidth="1"/>
    <col min="8" max="8" width="19.125" style="61" customWidth="1"/>
    <col min="9" max="9" width="9.50390625" style="61" customWidth="1"/>
    <col min="10" max="16384" width="9.00390625" style="61" customWidth="1"/>
  </cols>
  <sheetData>
    <row r="1" spans="1:2" ht="18.75" customHeight="1">
      <c r="A1" s="429" t="s">
        <v>1</v>
      </c>
      <c r="B1" s="228"/>
    </row>
    <row r="2" spans="1:8" ht="27" customHeight="1">
      <c r="A2" s="502" t="s">
        <v>2</v>
      </c>
      <c r="B2" s="502"/>
      <c r="C2" s="502"/>
      <c r="D2" s="502"/>
      <c r="E2" s="502"/>
      <c r="F2" s="502"/>
      <c r="G2" s="502"/>
      <c r="H2" s="502"/>
    </row>
    <row r="3" spans="1:8" ht="17.25" customHeight="1">
      <c r="A3" s="228"/>
      <c r="B3" s="228"/>
      <c r="C3" s="228"/>
      <c r="D3" s="228"/>
      <c r="E3" s="228"/>
      <c r="F3" s="228"/>
      <c r="G3" s="543"/>
      <c r="H3" s="543" t="s">
        <v>3</v>
      </c>
    </row>
    <row r="4" spans="1:8" ht="18.75" customHeight="1">
      <c r="A4" s="231" t="s">
        <v>4</v>
      </c>
      <c r="B4" s="503" t="s">
        <v>5</v>
      </c>
      <c r="C4" s="504" t="s">
        <v>6</v>
      </c>
      <c r="D4" s="504" t="s">
        <v>7</v>
      </c>
      <c r="E4" s="544" t="s">
        <v>8</v>
      </c>
      <c r="F4" s="544"/>
      <c r="G4" s="544"/>
      <c r="H4" s="235" t="s">
        <v>9</v>
      </c>
    </row>
    <row r="5" spans="1:8" ht="25.5" customHeight="1">
      <c r="A5" s="231"/>
      <c r="B5" s="508"/>
      <c r="C5" s="509"/>
      <c r="D5" s="509"/>
      <c r="E5" s="234" t="s">
        <v>10</v>
      </c>
      <c r="F5" s="234" t="s">
        <v>11</v>
      </c>
      <c r="G5" s="234" t="s">
        <v>12</v>
      </c>
      <c r="H5" s="235"/>
    </row>
    <row r="6" spans="1:8" s="227" customFormat="1" ht="21.75" customHeight="1">
      <c r="A6" s="551" t="s">
        <v>13</v>
      </c>
      <c r="B6" s="511">
        <f>SUM(B7:B19)</f>
        <v>977641</v>
      </c>
      <c r="C6" s="552">
        <f>SUM(C7:C19)</f>
        <v>962546</v>
      </c>
      <c r="D6" s="237">
        <f>SUM(D7:D19)</f>
        <v>985886</v>
      </c>
      <c r="E6" s="237">
        <f>SUM(E7:E19)</f>
        <v>1020157</v>
      </c>
      <c r="F6" s="553">
        <f>E6/D6*100</f>
        <v>103.47616255834853</v>
      </c>
      <c r="G6" s="554">
        <f>(E6/938191-1)*100</f>
        <v>8.736600542959794</v>
      </c>
      <c r="H6" s="517" t="s">
        <v>14</v>
      </c>
    </row>
    <row r="7" spans="1:8" s="227" customFormat="1" ht="28.5" customHeight="1">
      <c r="A7" s="51" t="s">
        <v>15</v>
      </c>
      <c r="B7" s="244">
        <v>189354</v>
      </c>
      <c r="C7" s="244">
        <v>274679</v>
      </c>
      <c r="D7" s="266">
        <v>321425</v>
      </c>
      <c r="E7" s="244">
        <v>332827</v>
      </c>
      <c r="F7" s="553">
        <f aca="true" t="shared" si="0" ref="F7:F25">E7/D7*100</f>
        <v>103.54732830364782</v>
      </c>
      <c r="G7" s="554">
        <f>(E7/207129-1)*100</f>
        <v>60.68585277773755</v>
      </c>
      <c r="H7" s="517" t="s">
        <v>16</v>
      </c>
    </row>
    <row r="8" spans="1:8" s="227" customFormat="1" ht="30" customHeight="1">
      <c r="A8" s="51" t="s">
        <v>17</v>
      </c>
      <c r="B8" s="244">
        <v>129964</v>
      </c>
      <c r="C8" s="244">
        <v>1471</v>
      </c>
      <c r="D8" s="266">
        <v>2435</v>
      </c>
      <c r="E8" s="244">
        <v>7200</v>
      </c>
      <c r="F8" s="553">
        <f t="shared" si="0"/>
        <v>295.68788501026694</v>
      </c>
      <c r="G8" s="554">
        <f>(E8/72739-1)*100</f>
        <v>-90.10159611762603</v>
      </c>
      <c r="H8" s="517" t="s">
        <v>18</v>
      </c>
    </row>
    <row r="9" spans="1:8" s="227" customFormat="1" ht="19.5" customHeight="1">
      <c r="A9" s="51" t="s">
        <v>19</v>
      </c>
      <c r="B9" s="244">
        <v>57852</v>
      </c>
      <c r="C9" s="244">
        <v>61201</v>
      </c>
      <c r="D9" s="266">
        <v>63384</v>
      </c>
      <c r="E9" s="244">
        <v>66902</v>
      </c>
      <c r="F9" s="553">
        <f t="shared" si="0"/>
        <v>105.5502966048214</v>
      </c>
      <c r="G9" s="554">
        <f aca="true" t="shared" si="1" ref="G9:G25">(E9/B9-1)*100</f>
        <v>15.643365830049083</v>
      </c>
      <c r="H9" s="555"/>
    </row>
    <row r="10" spans="1:8" s="227" customFormat="1" ht="19.5" customHeight="1">
      <c r="A10" s="51" t="s">
        <v>20</v>
      </c>
      <c r="B10" s="244">
        <v>26421</v>
      </c>
      <c r="C10" s="244">
        <v>27233</v>
      </c>
      <c r="D10" s="266">
        <v>45291</v>
      </c>
      <c r="E10" s="244">
        <v>49444</v>
      </c>
      <c r="F10" s="553">
        <f t="shared" si="0"/>
        <v>109.16959219270936</v>
      </c>
      <c r="G10" s="554">
        <f t="shared" si="1"/>
        <v>87.13901820521555</v>
      </c>
      <c r="H10" s="555"/>
    </row>
    <row r="11" spans="1:8" s="227" customFormat="1" ht="19.5" customHeight="1">
      <c r="A11" s="51" t="s">
        <v>21</v>
      </c>
      <c r="B11" s="244">
        <v>57415</v>
      </c>
      <c r="C11" s="244">
        <v>58240</v>
      </c>
      <c r="D11" s="266">
        <v>65397</v>
      </c>
      <c r="E11" s="244">
        <v>57888</v>
      </c>
      <c r="F11" s="553">
        <f t="shared" si="0"/>
        <v>88.51782191843662</v>
      </c>
      <c r="G11" s="554">
        <f t="shared" si="1"/>
        <v>0.8238265261691247</v>
      </c>
      <c r="H11" s="555"/>
    </row>
    <row r="12" spans="1:8" s="227" customFormat="1" ht="19.5" customHeight="1">
      <c r="A12" s="51" t="s">
        <v>22</v>
      </c>
      <c r="B12" s="244">
        <v>92600</v>
      </c>
      <c r="C12" s="244">
        <v>97875</v>
      </c>
      <c r="D12" s="266">
        <v>77024</v>
      </c>
      <c r="E12" s="244">
        <v>78005</v>
      </c>
      <c r="F12" s="553">
        <f t="shared" si="0"/>
        <v>101.27362899875362</v>
      </c>
      <c r="G12" s="554">
        <f t="shared" si="1"/>
        <v>-15.761339092872573</v>
      </c>
      <c r="H12" s="555"/>
    </row>
    <row r="13" spans="1:8" s="227" customFormat="1" ht="19.5" customHeight="1">
      <c r="A13" s="51" t="s">
        <v>23</v>
      </c>
      <c r="B13" s="244">
        <v>92190</v>
      </c>
      <c r="C13" s="244">
        <v>96233</v>
      </c>
      <c r="D13" s="266">
        <v>83457</v>
      </c>
      <c r="E13" s="244">
        <v>86984</v>
      </c>
      <c r="F13" s="553">
        <f t="shared" si="0"/>
        <v>104.22612842541668</v>
      </c>
      <c r="G13" s="554">
        <f t="shared" si="1"/>
        <v>-5.647033300791849</v>
      </c>
      <c r="H13" s="555"/>
    </row>
    <row r="14" spans="1:8" s="227" customFormat="1" ht="19.5" customHeight="1">
      <c r="A14" s="51" t="s">
        <v>24</v>
      </c>
      <c r="B14" s="244">
        <v>8296</v>
      </c>
      <c r="C14" s="244">
        <v>8968</v>
      </c>
      <c r="D14" s="266">
        <v>9660</v>
      </c>
      <c r="E14" s="244">
        <v>10864</v>
      </c>
      <c r="F14" s="553">
        <f t="shared" si="0"/>
        <v>112.46376811594203</v>
      </c>
      <c r="G14" s="554">
        <f t="shared" si="1"/>
        <v>30.954676952748315</v>
      </c>
      <c r="H14" s="555"/>
    </row>
    <row r="15" spans="1:8" s="227" customFormat="1" ht="19.5" customHeight="1">
      <c r="A15" s="51" t="s">
        <v>25</v>
      </c>
      <c r="B15" s="244">
        <v>199659</v>
      </c>
      <c r="C15" s="244">
        <v>206351</v>
      </c>
      <c r="D15" s="266">
        <v>178859</v>
      </c>
      <c r="E15" s="244">
        <v>176415</v>
      </c>
      <c r="F15" s="553">
        <f t="shared" si="0"/>
        <v>98.63356051414802</v>
      </c>
      <c r="G15" s="554">
        <f t="shared" si="1"/>
        <v>-11.641849353147116</v>
      </c>
      <c r="H15" s="555"/>
    </row>
    <row r="16" spans="1:8" s="227" customFormat="1" ht="19.5" customHeight="1">
      <c r="A16" s="51" t="s">
        <v>26</v>
      </c>
      <c r="B16" s="244">
        <v>32798</v>
      </c>
      <c r="C16" s="244">
        <v>36518</v>
      </c>
      <c r="D16" s="266">
        <v>51347</v>
      </c>
      <c r="E16" s="244">
        <v>61678</v>
      </c>
      <c r="F16" s="553">
        <f t="shared" si="0"/>
        <v>120.11996806045144</v>
      </c>
      <c r="G16" s="554">
        <f t="shared" si="1"/>
        <v>88.05414964327095</v>
      </c>
      <c r="H16" s="555"/>
    </row>
    <row r="17" spans="1:8" s="227" customFormat="1" ht="19.5" customHeight="1">
      <c r="A17" s="51" t="s">
        <v>27</v>
      </c>
      <c r="B17" s="244">
        <v>14537</v>
      </c>
      <c r="C17" s="244">
        <v>15968</v>
      </c>
      <c r="D17" s="266">
        <v>15813</v>
      </c>
      <c r="E17" s="244">
        <v>15606</v>
      </c>
      <c r="F17" s="553">
        <f t="shared" si="0"/>
        <v>98.69095048377918</v>
      </c>
      <c r="G17" s="554">
        <f t="shared" si="1"/>
        <v>7.353649308660648</v>
      </c>
      <c r="H17" s="555"/>
    </row>
    <row r="18" spans="1:8" s="227" customFormat="1" ht="19.5" customHeight="1">
      <c r="A18" s="538" t="s">
        <v>28</v>
      </c>
      <c r="B18" s="244">
        <v>31337</v>
      </c>
      <c r="C18" s="244">
        <v>32091</v>
      </c>
      <c r="D18" s="266">
        <v>19897</v>
      </c>
      <c r="E18" s="244">
        <v>16524</v>
      </c>
      <c r="F18" s="553">
        <f t="shared" si="0"/>
        <v>83.04769563250741</v>
      </c>
      <c r="G18" s="554">
        <f t="shared" si="1"/>
        <v>-47.270000319111595</v>
      </c>
      <c r="H18" s="555"/>
    </row>
    <row r="19" spans="1:8" s="227" customFormat="1" ht="19.5" customHeight="1">
      <c r="A19" s="38" t="s">
        <v>29</v>
      </c>
      <c r="B19" s="244">
        <v>45218</v>
      </c>
      <c r="C19" s="244">
        <v>45718</v>
      </c>
      <c r="D19" s="266">
        <v>51897</v>
      </c>
      <c r="E19" s="244">
        <v>59820</v>
      </c>
      <c r="F19" s="553">
        <f t="shared" si="0"/>
        <v>115.26677842649863</v>
      </c>
      <c r="G19" s="554">
        <f t="shared" si="1"/>
        <v>32.292449909328134</v>
      </c>
      <c r="H19" s="555"/>
    </row>
    <row r="20" spans="1:8" s="227" customFormat="1" ht="19.5" customHeight="1">
      <c r="A20" s="51" t="s">
        <v>30</v>
      </c>
      <c r="B20" s="515">
        <f>SUM(B21:B28)</f>
        <v>496354</v>
      </c>
      <c r="C20" s="515">
        <f>SUM(C21:C28)</f>
        <v>494694</v>
      </c>
      <c r="D20" s="515">
        <f>SUM(D21:D28)</f>
        <v>465851</v>
      </c>
      <c r="E20" s="515">
        <f>SUM(E21:E28)</f>
        <v>431846</v>
      </c>
      <c r="F20" s="553">
        <f t="shared" si="0"/>
        <v>92.70045572511383</v>
      </c>
      <c r="G20" s="554">
        <f t="shared" si="1"/>
        <v>-12.99636952658788</v>
      </c>
      <c r="H20" s="555"/>
    </row>
    <row r="21" spans="1:8" s="227" customFormat="1" ht="19.5" customHeight="1">
      <c r="A21" s="51" t="s">
        <v>31</v>
      </c>
      <c r="B21" s="244">
        <v>63333</v>
      </c>
      <c r="C21" s="154">
        <v>69943</v>
      </c>
      <c r="D21" s="266">
        <v>62524</v>
      </c>
      <c r="E21" s="244">
        <v>55106</v>
      </c>
      <c r="F21" s="553">
        <f t="shared" si="0"/>
        <v>88.135755869746</v>
      </c>
      <c r="G21" s="554">
        <f t="shared" si="1"/>
        <v>-12.990068368780893</v>
      </c>
      <c r="H21" s="556"/>
    </row>
    <row r="22" spans="1:8" s="227" customFormat="1" ht="19.5" customHeight="1">
      <c r="A22" s="51" t="s">
        <v>32</v>
      </c>
      <c r="B22" s="244">
        <v>43069</v>
      </c>
      <c r="C22" s="154">
        <v>41488</v>
      </c>
      <c r="D22" s="266">
        <v>39752</v>
      </c>
      <c r="E22" s="244">
        <v>43872</v>
      </c>
      <c r="F22" s="553">
        <f t="shared" si="0"/>
        <v>110.36425840209299</v>
      </c>
      <c r="G22" s="554">
        <f t="shared" si="1"/>
        <v>1.8644500684947385</v>
      </c>
      <c r="H22" s="555"/>
    </row>
    <row r="23" spans="1:8" s="227" customFormat="1" ht="19.5" customHeight="1">
      <c r="A23" s="51" t="s">
        <v>33</v>
      </c>
      <c r="B23" s="244">
        <v>58633</v>
      </c>
      <c r="C23" s="557">
        <v>60677</v>
      </c>
      <c r="D23" s="266">
        <v>61334</v>
      </c>
      <c r="E23" s="244">
        <v>79723</v>
      </c>
      <c r="F23" s="553">
        <f t="shared" si="0"/>
        <v>129.98173932892036</v>
      </c>
      <c r="G23" s="554">
        <f t="shared" si="1"/>
        <v>35.969505227431654</v>
      </c>
      <c r="H23" s="274"/>
    </row>
    <row r="24" spans="1:8" s="227" customFormat="1" ht="19.5" customHeight="1">
      <c r="A24" s="51" t="s">
        <v>34</v>
      </c>
      <c r="B24" s="244">
        <v>129072</v>
      </c>
      <c r="C24" s="557">
        <v>139750</v>
      </c>
      <c r="D24" s="266">
        <f>119951-5000</f>
        <v>114951</v>
      </c>
      <c r="E24" s="244">
        <v>94334</v>
      </c>
      <c r="F24" s="553">
        <f t="shared" si="0"/>
        <v>82.0645318440031</v>
      </c>
      <c r="G24" s="554">
        <f t="shared" si="1"/>
        <v>-26.913660592537504</v>
      </c>
      <c r="H24" s="274"/>
    </row>
    <row r="25" spans="1:8" s="227" customFormat="1" ht="19.5" customHeight="1">
      <c r="A25" s="51" t="s">
        <v>35</v>
      </c>
      <c r="B25" s="244">
        <v>119695</v>
      </c>
      <c r="C25" s="557">
        <v>114256</v>
      </c>
      <c r="D25" s="266">
        <f>130426+5000</f>
        <v>135426</v>
      </c>
      <c r="E25" s="244">
        <v>119713</v>
      </c>
      <c r="F25" s="553">
        <f t="shared" si="0"/>
        <v>88.39735353624857</v>
      </c>
      <c r="G25" s="554">
        <f t="shared" si="1"/>
        <v>0.01503822214796724</v>
      </c>
      <c r="H25" s="274"/>
    </row>
    <row r="26" spans="1:8" s="227" customFormat="1" ht="19.5" customHeight="1">
      <c r="A26" s="51" t="s">
        <v>36</v>
      </c>
      <c r="B26" s="244">
        <v>39535</v>
      </c>
      <c r="C26" s="557">
        <v>39850</v>
      </c>
      <c r="D26" s="266">
        <v>23203</v>
      </c>
      <c r="E26" s="244">
        <v>20585</v>
      </c>
      <c r="F26" s="553"/>
      <c r="G26" s="554"/>
      <c r="H26" s="274"/>
    </row>
    <row r="27" spans="1:8" s="227" customFormat="1" ht="19.5" customHeight="1">
      <c r="A27" s="51" t="s">
        <v>37</v>
      </c>
      <c r="B27" s="244">
        <v>24749</v>
      </c>
      <c r="C27" s="557">
        <v>14140</v>
      </c>
      <c r="D27" s="266">
        <v>14071</v>
      </c>
      <c r="E27" s="244">
        <v>12579</v>
      </c>
      <c r="F27" s="553">
        <f>E27/D27*100</f>
        <v>89.39663136948333</v>
      </c>
      <c r="G27" s="554">
        <f>(E27/B27-1)*100</f>
        <v>-49.17370398803992</v>
      </c>
      <c r="H27" s="274"/>
    </row>
    <row r="28" spans="1:8" s="227" customFormat="1" ht="19.5" customHeight="1">
      <c r="A28" s="51" t="s">
        <v>38</v>
      </c>
      <c r="B28" s="244">
        <v>18268</v>
      </c>
      <c r="C28" s="557">
        <v>14590</v>
      </c>
      <c r="D28" s="266">
        <v>14590</v>
      </c>
      <c r="E28" s="244">
        <v>5934</v>
      </c>
      <c r="F28" s="553">
        <f>E28/D28*100</f>
        <v>40.67169294037012</v>
      </c>
      <c r="G28" s="554">
        <f>(E28/B28-1)*100</f>
        <v>-67.51696956426538</v>
      </c>
      <c r="H28" s="274"/>
    </row>
    <row r="29" spans="1:8" s="227" customFormat="1" ht="19.5" customHeight="1">
      <c r="A29" s="51"/>
      <c r="B29" s="244"/>
      <c r="D29" s="266"/>
      <c r="E29" s="266"/>
      <c r="F29" s="553"/>
      <c r="G29" s="554"/>
      <c r="H29" s="274"/>
    </row>
    <row r="30" spans="1:9" s="227" customFormat="1" ht="19.5" customHeight="1">
      <c r="A30" s="270" t="s">
        <v>39</v>
      </c>
      <c r="B30" s="243">
        <f>B20+B6</f>
        <v>1473995</v>
      </c>
      <c r="C30" s="243">
        <f>C20+C6</f>
        <v>1457240</v>
      </c>
      <c r="D30" s="243">
        <f>D20+D6</f>
        <v>1451737</v>
      </c>
      <c r="E30" s="243">
        <f>E20+E6</f>
        <v>1452003</v>
      </c>
      <c r="F30" s="553">
        <f>E30/D30*100</f>
        <v>100.01832287804196</v>
      </c>
      <c r="G30" s="554">
        <f>(E30/1434545-1)*100</f>
        <v>1.2169712347817496</v>
      </c>
      <c r="H30" s="274" t="s">
        <v>40</v>
      </c>
      <c r="I30" s="561"/>
    </row>
    <row r="31" spans="1:8" s="227" customFormat="1" ht="16.5" customHeight="1">
      <c r="A31" s="270"/>
      <c r="B31" s="243"/>
      <c r="D31" s="243"/>
      <c r="E31" s="243"/>
      <c r="F31" s="553"/>
      <c r="G31" s="554"/>
      <c r="H31" s="274"/>
    </row>
    <row r="32" spans="1:8" s="227" customFormat="1" ht="19.5" customHeight="1">
      <c r="A32" s="271" t="s">
        <v>41</v>
      </c>
      <c r="B32" s="243">
        <f>SUM(B33:B38)</f>
        <v>2306630</v>
      </c>
      <c r="C32" s="243">
        <f>SUM(C33:C38)</f>
        <v>1319468</v>
      </c>
      <c r="D32" s="243">
        <f>SUM(D33:D38)</f>
        <v>1299968</v>
      </c>
      <c r="E32" s="243">
        <f>SUM(E33:E38)</f>
        <v>1418253</v>
      </c>
      <c r="F32" s="553"/>
      <c r="G32" s="554"/>
      <c r="H32" s="274"/>
    </row>
    <row r="33" spans="1:8" s="227" customFormat="1" ht="19.5" customHeight="1">
      <c r="A33" s="537" t="s">
        <v>42</v>
      </c>
      <c r="B33" s="243">
        <v>128186</v>
      </c>
      <c r="C33" s="243">
        <v>129706</v>
      </c>
      <c r="D33" s="243">
        <v>129706</v>
      </c>
      <c r="E33" s="243">
        <v>132491</v>
      </c>
      <c r="F33" s="553"/>
      <c r="G33" s="554"/>
      <c r="H33" s="248"/>
    </row>
    <row r="34" spans="1:8" s="227" customFormat="1" ht="19.5" customHeight="1">
      <c r="A34" s="537" t="s">
        <v>43</v>
      </c>
      <c r="B34" s="243">
        <v>593072</v>
      </c>
      <c r="C34" s="243">
        <v>578189</v>
      </c>
      <c r="D34" s="243">
        <v>578189</v>
      </c>
      <c r="E34" s="243">
        <f>596848+15000</f>
        <v>611848</v>
      </c>
      <c r="F34" s="553"/>
      <c r="G34" s="554"/>
      <c r="H34" s="248"/>
    </row>
    <row r="35" spans="1:8" s="227" customFormat="1" ht="19.5" customHeight="1">
      <c r="A35" s="528" t="s">
        <v>44</v>
      </c>
      <c r="B35" s="243">
        <v>302631</v>
      </c>
      <c r="C35" s="243">
        <v>239202</v>
      </c>
      <c r="D35" s="243">
        <f>239202-14000</f>
        <v>225202</v>
      </c>
      <c r="E35" s="243">
        <v>233382</v>
      </c>
      <c r="F35" s="553"/>
      <c r="G35" s="554"/>
      <c r="H35" s="248"/>
    </row>
    <row r="36" spans="1:8" s="227" customFormat="1" ht="19.5" customHeight="1">
      <c r="A36" s="528" t="s">
        <v>45</v>
      </c>
      <c r="B36" s="243">
        <v>104691</v>
      </c>
      <c r="C36" s="243">
        <v>99800</v>
      </c>
      <c r="D36" s="243">
        <v>99800</v>
      </c>
      <c r="E36" s="243">
        <v>99800</v>
      </c>
      <c r="F36" s="553"/>
      <c r="G36" s="554"/>
      <c r="H36" s="274"/>
    </row>
    <row r="37" spans="1:8" s="227" customFormat="1" ht="19.5" customHeight="1">
      <c r="A37" s="528" t="s">
        <v>46</v>
      </c>
      <c r="B37" s="243">
        <f>44803+15447</f>
        <v>60250</v>
      </c>
      <c r="C37" s="243">
        <v>80371</v>
      </c>
      <c r="D37" s="243">
        <f>80371-500</f>
        <v>79871</v>
      </c>
      <c r="E37" s="243">
        <v>153532</v>
      </c>
      <c r="F37" s="553"/>
      <c r="G37" s="554"/>
      <c r="H37" s="248"/>
    </row>
    <row r="38" spans="1:8" s="227" customFormat="1" ht="19.5" customHeight="1">
      <c r="A38" s="528" t="s">
        <v>47</v>
      </c>
      <c r="B38" s="243">
        <v>1117800</v>
      </c>
      <c r="C38" s="243">
        <v>192200</v>
      </c>
      <c r="D38" s="243">
        <v>187200</v>
      </c>
      <c r="E38" s="243">
        <v>187200</v>
      </c>
      <c r="F38" s="553"/>
      <c r="G38" s="554"/>
      <c r="H38" s="248"/>
    </row>
    <row r="39" spans="1:8" s="227" customFormat="1" ht="16.5" customHeight="1">
      <c r="A39" s="538"/>
      <c r="B39" s="243"/>
      <c r="C39" s="252"/>
      <c r="D39" s="265"/>
      <c r="E39" s="265"/>
      <c r="F39" s="553"/>
      <c r="G39" s="554"/>
      <c r="H39" s="274"/>
    </row>
    <row r="40" spans="1:8" s="227" customFormat="1" ht="19.5" customHeight="1">
      <c r="A40" s="58" t="s">
        <v>48</v>
      </c>
      <c r="B40" s="558">
        <f>B30+B32</f>
        <v>3780625</v>
      </c>
      <c r="C40" s="558">
        <f>C30+C32</f>
        <v>2776708</v>
      </c>
      <c r="D40" s="558">
        <f>D30+D32</f>
        <v>2751705</v>
      </c>
      <c r="E40" s="558">
        <f>E30+E32</f>
        <v>2870256</v>
      </c>
      <c r="F40" s="559">
        <f>E40/D40*100</f>
        <v>104.30827432446428</v>
      </c>
      <c r="G40" s="559">
        <f>(E40/B40-1)*100</f>
        <v>-24.079854521408496</v>
      </c>
      <c r="H40" s="560"/>
    </row>
    <row r="41" spans="1:8" s="227" customFormat="1" ht="33" customHeight="1">
      <c r="A41" s="27" t="s">
        <v>49</v>
      </c>
      <c r="B41" s="27"/>
      <c r="C41" s="27"/>
      <c r="D41" s="27"/>
      <c r="E41" s="27"/>
      <c r="F41" s="27"/>
      <c r="G41" s="27"/>
      <c r="H41" s="27"/>
    </row>
    <row r="45" ht="14.25">
      <c r="E45" s="241"/>
    </row>
  </sheetData>
  <sheetProtection/>
  <mergeCells count="8">
    <mergeCell ref="A2:H2"/>
    <mergeCell ref="E4:G4"/>
    <mergeCell ref="A41:H41"/>
    <mergeCell ref="A4:A5"/>
    <mergeCell ref="B4:B5"/>
    <mergeCell ref="C4:C5"/>
    <mergeCell ref="D4:D5"/>
    <mergeCell ref="H4:H5"/>
  </mergeCells>
  <printOptions horizontalCentered="1"/>
  <pageMargins left="0.39" right="0.39" top="0.75" bottom="0.9" header="0.51" footer="0.51"/>
  <pageSetup horizontalDpi="600" verticalDpi="600" orientation="portrait" paperSize="9" scale="8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1"/>
  </sheetPr>
  <dimension ref="A1:F37"/>
  <sheetViews>
    <sheetView view="pageBreakPreview" zoomScaleSheetLayoutView="100" workbookViewId="0" topLeftCell="A1">
      <selection activeCell="C30" sqref="C30"/>
    </sheetView>
  </sheetViews>
  <sheetFormatPr defaultColWidth="9.00390625" defaultRowHeight="14.25"/>
  <cols>
    <col min="1" max="1" width="44.50390625" style="183" customWidth="1"/>
    <col min="2" max="2" width="7.875" style="184" customWidth="1"/>
    <col min="3" max="3" width="8.375" style="184" customWidth="1"/>
    <col min="4" max="4" width="8.875" style="184" customWidth="1"/>
    <col min="5" max="5" width="16.125" style="183" customWidth="1"/>
    <col min="6" max="16384" width="9.00390625" style="183" customWidth="1"/>
  </cols>
  <sheetData>
    <row r="1" ht="12.75" customHeight="1">
      <c r="A1" s="185" t="s">
        <v>118</v>
      </c>
    </row>
    <row r="2" spans="1:5" ht="24.75" customHeight="1">
      <c r="A2" s="186" t="s">
        <v>922</v>
      </c>
      <c r="B2" s="186"/>
      <c r="C2" s="186"/>
      <c r="D2" s="186"/>
      <c r="E2" s="186"/>
    </row>
    <row r="3" spans="1:5" ht="15" customHeight="1">
      <c r="A3" s="185"/>
      <c r="B3" s="187"/>
      <c r="C3" s="187"/>
      <c r="D3" s="188" t="s">
        <v>3</v>
      </c>
      <c r="E3" s="188"/>
    </row>
    <row r="4" spans="1:5" ht="32.25" customHeight="1">
      <c r="A4" s="189" t="s">
        <v>136</v>
      </c>
      <c r="B4" s="190" t="s">
        <v>137</v>
      </c>
      <c r="C4" s="190" t="s">
        <v>906</v>
      </c>
      <c r="D4" s="190" t="s">
        <v>919</v>
      </c>
      <c r="E4" s="190" t="s">
        <v>139</v>
      </c>
    </row>
    <row r="5" spans="1:6" ht="22.5" customHeight="1">
      <c r="A5" s="191" t="s">
        <v>163</v>
      </c>
      <c r="B5" s="192">
        <f>SUM(B6:B7)</f>
        <v>15</v>
      </c>
      <c r="C5" s="192">
        <f>SUM(C6:C7)</f>
        <v>15</v>
      </c>
      <c r="D5" s="193"/>
      <c r="E5" s="194"/>
      <c r="F5" s="195"/>
    </row>
    <row r="6" spans="1:5" ht="22.5" customHeight="1">
      <c r="A6" s="196" t="s">
        <v>923</v>
      </c>
      <c r="B6" s="192">
        <v>15</v>
      </c>
      <c r="C6" s="192">
        <v>15</v>
      </c>
      <c r="D6" s="193"/>
      <c r="E6" s="197"/>
    </row>
    <row r="7" spans="1:5" ht="22.5" customHeight="1">
      <c r="A7" s="196" t="s">
        <v>924</v>
      </c>
      <c r="B7" s="192"/>
      <c r="C7" s="192"/>
      <c r="D7" s="193"/>
      <c r="E7" s="197"/>
    </row>
    <row r="8" spans="1:5" ht="22.5" customHeight="1">
      <c r="A8" s="191" t="s">
        <v>925</v>
      </c>
      <c r="B8" s="192">
        <f>SUM(B9:B13)</f>
        <v>127230</v>
      </c>
      <c r="C8" s="192">
        <f>SUM(C9:C13)</f>
        <v>284017</v>
      </c>
      <c r="D8" s="193">
        <f>(C8/B8-1)*100</f>
        <v>123.23115617385838</v>
      </c>
      <c r="E8" s="197"/>
    </row>
    <row r="9" spans="1:5" ht="22.5" customHeight="1">
      <c r="A9" s="196" t="s">
        <v>926</v>
      </c>
      <c r="B9" s="192">
        <v>121086</v>
      </c>
      <c r="C9" s="192">
        <v>262267</v>
      </c>
      <c r="D9" s="193">
        <f>(C9/B9-1)*100</f>
        <v>116.59564276629833</v>
      </c>
      <c r="E9" s="197"/>
    </row>
    <row r="10" spans="1:5" ht="22.5" customHeight="1">
      <c r="A10" s="196" t="s">
        <v>927</v>
      </c>
      <c r="B10" s="192">
        <v>1563</v>
      </c>
      <c r="C10" s="192"/>
      <c r="D10" s="193"/>
      <c r="E10" s="197"/>
    </row>
    <row r="11" spans="1:5" ht="22.5" customHeight="1">
      <c r="A11" s="196" t="s">
        <v>928</v>
      </c>
      <c r="B11" s="192">
        <v>4000</v>
      </c>
      <c r="C11" s="192">
        <v>15750</v>
      </c>
      <c r="D11" s="193">
        <f>(C11/B11-1)*100</f>
        <v>293.75</v>
      </c>
      <c r="E11" s="198"/>
    </row>
    <row r="12" spans="1:5" ht="22.5" customHeight="1">
      <c r="A12" s="196" t="s">
        <v>929</v>
      </c>
      <c r="B12" s="192"/>
      <c r="C12" s="192">
        <v>6000</v>
      </c>
      <c r="D12" s="193"/>
      <c r="E12" s="193"/>
    </row>
    <row r="13" spans="1:5" ht="22.5" customHeight="1">
      <c r="A13" s="196" t="s">
        <v>930</v>
      </c>
      <c r="B13" s="192">
        <v>581</v>
      </c>
      <c r="C13" s="192"/>
      <c r="D13" s="193"/>
      <c r="E13" s="194"/>
    </row>
    <row r="14" spans="1:5" ht="22.5" customHeight="1">
      <c r="A14" s="191" t="s">
        <v>931</v>
      </c>
      <c r="B14" s="192">
        <f>SUM(B15:B17)</f>
        <v>8942</v>
      </c>
      <c r="C14" s="192">
        <f>SUM(C15:C17)</f>
        <v>9797</v>
      </c>
      <c r="D14" s="193">
        <f>(C14/B14-1)*100</f>
        <v>9.561619324535897</v>
      </c>
      <c r="E14" s="199"/>
    </row>
    <row r="15" spans="1:5" ht="22.5" customHeight="1">
      <c r="A15" s="196" t="s">
        <v>206</v>
      </c>
      <c r="B15" s="192">
        <f>21+348+169</f>
        <v>538</v>
      </c>
      <c r="C15" s="192"/>
      <c r="D15" s="193"/>
      <c r="E15" s="199"/>
    </row>
    <row r="16" spans="1:5" ht="22.5" customHeight="1">
      <c r="A16" s="200" t="s">
        <v>932</v>
      </c>
      <c r="B16" s="192">
        <v>2348</v>
      </c>
      <c r="C16" s="192">
        <v>2427</v>
      </c>
      <c r="D16" s="193">
        <f>(C16/B16-1)*100</f>
        <v>3.364565587734236</v>
      </c>
      <c r="E16" s="199"/>
    </row>
    <row r="17" spans="1:5" ht="22.5" customHeight="1">
      <c r="A17" s="200" t="s">
        <v>208</v>
      </c>
      <c r="B17" s="192">
        <v>6056</v>
      </c>
      <c r="C17" s="192">
        <v>7370</v>
      </c>
      <c r="D17" s="193">
        <f>(C17/B17-1)*100</f>
        <v>21.697490092470282</v>
      </c>
      <c r="E17" s="197"/>
    </row>
    <row r="18" spans="1:5" ht="22.5" customHeight="1">
      <c r="A18" s="201" t="s">
        <v>933</v>
      </c>
      <c r="B18" s="192">
        <f>SUM(B19)</f>
        <v>5495</v>
      </c>
      <c r="C18" s="192">
        <v>5980</v>
      </c>
      <c r="D18" s="193">
        <f>(C18/B18-1)*100</f>
        <v>8.826205641492258</v>
      </c>
      <c r="E18" s="197"/>
    </row>
    <row r="19" spans="1:5" ht="22.5" customHeight="1">
      <c r="A19" s="200" t="s">
        <v>934</v>
      </c>
      <c r="B19" s="192">
        <v>5495</v>
      </c>
      <c r="C19" s="192">
        <v>5980</v>
      </c>
      <c r="D19" s="193">
        <f>(C19/B19-1)*100</f>
        <v>8.826205641492258</v>
      </c>
      <c r="E19" s="194"/>
    </row>
    <row r="20" spans="1:5" ht="22.5" customHeight="1">
      <c r="A20" s="202"/>
      <c r="B20" s="192"/>
      <c r="C20" s="192"/>
      <c r="D20" s="203"/>
      <c r="E20" s="194"/>
    </row>
    <row r="21" spans="1:5" ht="22.5" customHeight="1">
      <c r="A21" s="204" t="s">
        <v>84</v>
      </c>
      <c r="B21" s="192">
        <f>SUM(B5,B8,B14,B18)</f>
        <v>141682</v>
      </c>
      <c r="C21" s="192">
        <f>SUM(C5,C8,C14,C18)</f>
        <v>299809</v>
      </c>
      <c r="D21" s="193">
        <f>(C21/B21-1)*100</f>
        <v>111.60697900933076</v>
      </c>
      <c r="E21" s="194"/>
    </row>
    <row r="22" spans="1:5" ht="22.5" customHeight="1">
      <c r="A22" s="204"/>
      <c r="B22" s="192"/>
      <c r="C22" s="192"/>
      <c r="D22" s="193"/>
      <c r="E22" s="194"/>
    </row>
    <row r="23" spans="1:5" ht="22.5" customHeight="1">
      <c r="A23" s="191"/>
      <c r="B23" s="192"/>
      <c r="C23" s="192"/>
      <c r="D23" s="205"/>
      <c r="E23" s="199"/>
    </row>
    <row r="24" spans="1:5" ht="22.5" customHeight="1">
      <c r="A24" s="191" t="s">
        <v>88</v>
      </c>
      <c r="B24" s="192">
        <f>B25+B28+B29+B30</f>
        <v>301529</v>
      </c>
      <c r="C24" s="192">
        <f>C25+C28+C29+C30</f>
        <v>59615</v>
      </c>
      <c r="D24" s="205"/>
      <c r="E24" s="206"/>
    </row>
    <row r="25" spans="1:5" ht="22.5" customHeight="1">
      <c r="A25" s="191" t="s">
        <v>184</v>
      </c>
      <c r="B25" s="192">
        <f>SUM(B26:B27)</f>
        <v>10554</v>
      </c>
      <c r="C25" s="192">
        <f>C26+C27</f>
        <v>20903</v>
      </c>
      <c r="D25" s="193"/>
      <c r="E25" s="194"/>
    </row>
    <row r="26" spans="1:5" ht="22.5" customHeight="1">
      <c r="A26" s="191" t="s">
        <v>185</v>
      </c>
      <c r="B26" s="192">
        <v>10542</v>
      </c>
      <c r="C26" s="192">
        <v>20828</v>
      </c>
      <c r="D26" s="193"/>
      <c r="E26" s="194"/>
    </row>
    <row r="27" spans="1:5" ht="22.5" customHeight="1">
      <c r="A27" s="191" t="s">
        <v>186</v>
      </c>
      <c r="B27" s="192">
        <v>12</v>
      </c>
      <c r="C27" s="192">
        <v>75</v>
      </c>
      <c r="D27" s="193"/>
      <c r="E27" s="199" t="s">
        <v>935</v>
      </c>
    </row>
    <row r="28" spans="1:5" ht="22.5" customHeight="1">
      <c r="A28" s="191" t="s">
        <v>187</v>
      </c>
      <c r="B28" s="192">
        <v>18428</v>
      </c>
      <c r="C28" s="192"/>
      <c r="D28" s="193"/>
      <c r="E28" s="199"/>
    </row>
    <row r="29" spans="1:5" ht="22.5" customHeight="1">
      <c r="A29" s="191" t="s">
        <v>210</v>
      </c>
      <c r="B29" s="192">
        <v>241800</v>
      </c>
      <c r="C29" s="192">
        <v>8400</v>
      </c>
      <c r="D29" s="193"/>
      <c r="E29" s="199"/>
    </row>
    <row r="30" spans="1:5" ht="22.5" customHeight="1">
      <c r="A30" s="191" t="s">
        <v>188</v>
      </c>
      <c r="B30" s="192">
        <v>30747</v>
      </c>
      <c r="C30" s="192">
        <v>30312</v>
      </c>
      <c r="D30" s="193"/>
      <c r="E30" s="199"/>
    </row>
    <row r="31" spans="1:5" ht="22.5" customHeight="1">
      <c r="A31" s="192"/>
      <c r="B31" s="192"/>
      <c r="C31" s="192"/>
      <c r="D31" s="193"/>
      <c r="E31" s="199"/>
    </row>
    <row r="32" spans="1:5" ht="22.5" customHeight="1">
      <c r="A32" s="207" t="s">
        <v>93</v>
      </c>
      <c r="B32" s="208">
        <f>B24+B21</f>
        <v>443211</v>
      </c>
      <c r="C32" s="208">
        <f>C24+C21</f>
        <v>359424</v>
      </c>
      <c r="D32" s="209">
        <f>(C32/B32-1)*100</f>
        <v>-18.90453982414696</v>
      </c>
      <c r="E32" s="210"/>
    </row>
    <row r="33" spans="1:4" ht="20.25" customHeight="1">
      <c r="A33" s="211"/>
      <c r="B33" s="211"/>
      <c r="C33" s="211"/>
      <c r="D33" s="211"/>
    </row>
    <row r="34" ht="21.75" customHeight="1">
      <c r="C34" s="212"/>
    </row>
    <row r="35" ht="14.25">
      <c r="C35" s="212"/>
    </row>
    <row r="36" spans="2:3" ht="14.25">
      <c r="B36" s="212"/>
      <c r="C36" s="213"/>
    </row>
    <row r="37" ht="14.25">
      <c r="C37" s="213"/>
    </row>
  </sheetData>
  <sheetProtection/>
  <mergeCells count="2">
    <mergeCell ref="A2:E2"/>
    <mergeCell ref="D3:E3"/>
  </mergeCells>
  <printOptions horizontalCentered="1"/>
  <pageMargins left="0.7" right="0.7" top="0.75" bottom="0.9" header="0.3" footer="0.3"/>
  <pageSetup horizontalDpi="600" verticalDpi="600" orientation="portrait" paperSize="9" scale="95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1"/>
  </sheetPr>
  <dimension ref="A1:L25"/>
  <sheetViews>
    <sheetView zoomScale="70" zoomScaleNormal="70" workbookViewId="0" topLeftCell="A1">
      <selection activeCell="A18" sqref="A18:IV25"/>
    </sheetView>
  </sheetViews>
  <sheetFormatPr defaultColWidth="9.00390625" defaultRowHeight="14.25"/>
  <cols>
    <col min="1" max="1" width="29.125" style="150" customWidth="1"/>
    <col min="2" max="2" width="7.50390625" style="150" customWidth="1"/>
    <col min="3" max="3" width="7.50390625" style="151" customWidth="1"/>
    <col min="4" max="4" width="8.00390625" style="151" customWidth="1"/>
    <col min="5" max="5" width="27.375" style="149" customWidth="1"/>
    <col min="6" max="6" width="11.00390625" style="151" customWidth="1"/>
    <col min="7" max="7" width="10.25390625" style="151" customWidth="1"/>
    <col min="8" max="8" width="12.50390625" style="151" customWidth="1"/>
    <col min="9" max="9" width="67.00390625" style="149" customWidth="1"/>
    <col min="10" max="16384" width="9.00390625" style="150" customWidth="1"/>
  </cols>
  <sheetData>
    <row r="1" ht="14.25">
      <c r="A1" s="152" t="s">
        <v>936</v>
      </c>
    </row>
    <row r="2" spans="1:9" s="149" customFormat="1" ht="25.5" customHeight="1">
      <c r="A2" s="4" t="s">
        <v>937</v>
      </c>
      <c r="B2" s="4"/>
      <c r="C2" s="4"/>
      <c r="D2" s="4"/>
      <c r="E2" s="4"/>
      <c r="F2" s="153"/>
      <c r="G2" s="153"/>
      <c r="H2" s="153"/>
      <c r="I2" s="153"/>
    </row>
    <row r="3" spans="1:9" s="149" customFormat="1" ht="21.75" customHeight="1">
      <c r="A3" s="154" t="s">
        <v>213</v>
      </c>
      <c r="B3" s="154"/>
      <c r="C3" s="154"/>
      <c r="D3" s="154"/>
      <c r="E3" s="154"/>
      <c r="F3" s="155"/>
      <c r="G3" s="155"/>
      <c r="H3" s="156"/>
      <c r="I3" s="182"/>
    </row>
    <row r="4" spans="1:5" ht="34.5" customHeight="1">
      <c r="A4" s="157" t="s">
        <v>214</v>
      </c>
      <c r="B4" s="157" t="s">
        <v>137</v>
      </c>
      <c r="C4" s="157" t="s">
        <v>906</v>
      </c>
      <c r="D4" s="157" t="s">
        <v>97</v>
      </c>
      <c r="E4" s="157" t="s">
        <v>139</v>
      </c>
    </row>
    <row r="5" spans="1:8" s="149" customFormat="1" ht="24.75" customHeight="1">
      <c r="A5" s="158" t="s">
        <v>215</v>
      </c>
      <c r="B5" s="159"/>
      <c r="C5" s="160">
        <f>SUM(C6:C9)</f>
        <v>1719</v>
      </c>
      <c r="D5" s="161"/>
      <c r="E5" s="162"/>
      <c r="F5" s="151"/>
      <c r="G5" s="151"/>
      <c r="H5" s="151"/>
    </row>
    <row r="6" spans="1:8" s="149" customFormat="1" ht="24.75" customHeight="1">
      <c r="A6" s="163" t="s">
        <v>938</v>
      </c>
      <c r="B6" s="164"/>
      <c r="C6" s="160"/>
      <c r="D6" s="165"/>
      <c r="E6" s="166"/>
      <c r="F6" s="151"/>
      <c r="G6" s="151"/>
      <c r="H6" s="151"/>
    </row>
    <row r="7" spans="1:5" ht="24.75" customHeight="1">
      <c r="A7" s="163" t="s">
        <v>216</v>
      </c>
      <c r="B7" s="164"/>
      <c r="C7" s="160">
        <v>1719</v>
      </c>
      <c r="D7" s="165"/>
      <c r="E7" s="167" t="s">
        <v>939</v>
      </c>
    </row>
    <row r="8" spans="1:5" ht="24.75" customHeight="1">
      <c r="A8" s="163" t="s">
        <v>218</v>
      </c>
      <c r="B8" s="164"/>
      <c r="C8" s="160"/>
      <c r="D8" s="165"/>
      <c r="E8" s="166"/>
    </row>
    <row r="9" spans="1:5" ht="24.75" customHeight="1">
      <c r="A9" s="163" t="s">
        <v>219</v>
      </c>
      <c r="B9" s="164"/>
      <c r="C9" s="160"/>
      <c r="D9" s="165"/>
      <c r="E9" s="167"/>
    </row>
    <row r="10" spans="1:8" s="149" customFormat="1" ht="24.75" customHeight="1">
      <c r="A10" s="158" t="s">
        <v>220</v>
      </c>
      <c r="B10" s="164"/>
      <c r="C10" s="160"/>
      <c r="D10" s="165"/>
      <c r="E10" s="167"/>
      <c r="F10" s="151"/>
      <c r="G10" s="151"/>
      <c r="H10" s="151"/>
    </row>
    <row r="11" spans="1:5" ht="24.75" customHeight="1">
      <c r="A11" s="168" t="s">
        <v>940</v>
      </c>
      <c r="B11" s="164"/>
      <c r="C11" s="160"/>
      <c r="D11" s="165"/>
      <c r="E11" s="167"/>
    </row>
    <row r="12" spans="1:5" ht="24.75" customHeight="1">
      <c r="A12" s="168"/>
      <c r="B12" s="164"/>
      <c r="C12" s="160"/>
      <c r="D12" s="165"/>
      <c r="E12" s="167"/>
    </row>
    <row r="13" spans="1:8" s="149" customFormat="1" ht="24.75" customHeight="1">
      <c r="A13" s="169" t="s">
        <v>223</v>
      </c>
      <c r="B13" s="164"/>
      <c r="C13" s="160">
        <f>SUM(C5,C10)</f>
        <v>1719</v>
      </c>
      <c r="D13" s="165"/>
      <c r="E13" s="167"/>
      <c r="F13" s="151"/>
      <c r="G13" s="151"/>
      <c r="H13" s="151"/>
    </row>
    <row r="14" spans="1:5" ht="24.75" customHeight="1">
      <c r="A14" s="168" t="s">
        <v>941</v>
      </c>
      <c r="B14" s="164">
        <v>6693</v>
      </c>
      <c r="C14" s="160"/>
      <c r="D14" s="165"/>
      <c r="E14" s="167"/>
    </row>
    <row r="15" spans="1:8" s="149" customFormat="1" ht="24.75" customHeight="1">
      <c r="A15" s="168" t="s">
        <v>942</v>
      </c>
      <c r="B15" s="170"/>
      <c r="C15" s="160"/>
      <c r="D15" s="165"/>
      <c r="E15" s="167"/>
      <c r="F15" s="151"/>
      <c r="G15" s="151"/>
      <c r="H15" s="151"/>
    </row>
    <row r="16" spans="1:8" s="149" customFormat="1" ht="24.75" customHeight="1">
      <c r="A16" s="169" t="s">
        <v>48</v>
      </c>
      <c r="B16" s="164">
        <f>B13+B14+B15</f>
        <v>6693</v>
      </c>
      <c r="C16" s="160">
        <f>C13+C14</f>
        <v>1719</v>
      </c>
      <c r="D16" s="165">
        <f>(C16/B16-1)*100</f>
        <v>-74.31645002241147</v>
      </c>
      <c r="E16" s="167"/>
      <c r="F16" s="151"/>
      <c r="G16" s="151"/>
      <c r="H16" s="151"/>
    </row>
    <row r="17" spans="1:5" ht="36" customHeight="1">
      <c r="A17" s="171" t="s">
        <v>226</v>
      </c>
      <c r="B17" s="157" t="s">
        <v>137</v>
      </c>
      <c r="C17" s="172" t="s">
        <v>906</v>
      </c>
      <c r="D17" s="157" t="s">
        <v>97</v>
      </c>
      <c r="E17" s="173" t="s">
        <v>139</v>
      </c>
    </row>
    <row r="18" spans="1:12" ht="28.5" customHeight="1">
      <c r="A18" s="163" t="s">
        <v>943</v>
      </c>
      <c r="B18" s="164">
        <v>12</v>
      </c>
      <c r="C18" s="160">
        <v>875</v>
      </c>
      <c r="D18" s="165">
        <f>(C18/B18-1)*100</f>
        <v>7191.666666666667</v>
      </c>
      <c r="E18" s="166" t="s">
        <v>944</v>
      </c>
      <c r="F18" s="150"/>
      <c r="G18" s="150"/>
      <c r="H18" s="150"/>
      <c r="I18" s="151"/>
      <c r="J18" s="151"/>
      <c r="K18" s="151"/>
      <c r="L18" s="149"/>
    </row>
    <row r="19" spans="1:12" ht="28.5" customHeight="1">
      <c r="A19" s="163" t="s">
        <v>228</v>
      </c>
      <c r="B19" s="164"/>
      <c r="C19" s="160"/>
      <c r="D19" s="165"/>
      <c r="E19" s="166"/>
      <c r="F19" s="150"/>
      <c r="G19" s="150"/>
      <c r="H19" s="150"/>
      <c r="I19" s="151"/>
      <c r="J19" s="151"/>
      <c r="K19" s="151"/>
      <c r="L19" s="149"/>
    </row>
    <row r="20" spans="1:12" ht="28.5" customHeight="1">
      <c r="A20" s="163" t="s">
        <v>945</v>
      </c>
      <c r="B20" s="164"/>
      <c r="C20" s="160"/>
      <c r="D20" s="165"/>
      <c r="E20" s="166"/>
      <c r="F20" s="150"/>
      <c r="G20" s="150"/>
      <c r="H20" s="150"/>
      <c r="I20" s="151"/>
      <c r="J20" s="151"/>
      <c r="K20" s="151"/>
      <c r="L20" s="149"/>
    </row>
    <row r="21" spans="1:12" ht="28.5" customHeight="1">
      <c r="A21" s="163" t="s">
        <v>946</v>
      </c>
      <c r="B21" s="164">
        <v>940</v>
      </c>
      <c r="C21" s="160">
        <v>500</v>
      </c>
      <c r="D21" s="165">
        <f>(C21/B21-1)*100</f>
        <v>-46.808510638297875</v>
      </c>
      <c r="E21" s="166"/>
      <c r="F21" s="150"/>
      <c r="G21" s="150"/>
      <c r="H21" s="150"/>
      <c r="I21" s="151"/>
      <c r="J21" s="151"/>
      <c r="K21" s="151"/>
      <c r="L21" s="149"/>
    </row>
    <row r="22" spans="1:11" s="149" customFormat="1" ht="28.5" customHeight="1">
      <c r="A22" s="169" t="s">
        <v>231</v>
      </c>
      <c r="B22" s="164">
        <f>SUM(B18:B21)</f>
        <v>952</v>
      </c>
      <c r="C22" s="174">
        <f>SUM(C18:C21)</f>
        <v>1375</v>
      </c>
      <c r="D22" s="165">
        <f>(C22/B22-1)*100</f>
        <v>44.4327731092437</v>
      </c>
      <c r="E22" s="175"/>
      <c r="F22" s="150"/>
      <c r="G22" s="150"/>
      <c r="H22" s="150"/>
      <c r="I22" s="151"/>
      <c r="J22" s="151"/>
      <c r="K22" s="151"/>
    </row>
    <row r="23" spans="1:8" s="149" customFormat="1" ht="28.5" customHeight="1">
      <c r="A23" s="168" t="s">
        <v>232</v>
      </c>
      <c r="B23" s="164"/>
      <c r="C23" s="160">
        <v>344</v>
      </c>
      <c r="D23" s="165"/>
      <c r="E23" s="176"/>
      <c r="F23" s="151"/>
      <c r="G23" s="151"/>
      <c r="H23" s="151"/>
    </row>
    <row r="24" spans="1:8" s="149" customFormat="1" ht="28.5" customHeight="1">
      <c r="A24" s="168" t="s">
        <v>947</v>
      </c>
      <c r="B24" s="164">
        <f>6693-952</f>
        <v>5741</v>
      </c>
      <c r="C24" s="160"/>
      <c r="D24" s="165"/>
      <c r="E24" s="176"/>
      <c r="F24" s="151"/>
      <c r="G24" s="151"/>
      <c r="H24" s="151"/>
    </row>
    <row r="25" spans="1:8" s="149" customFormat="1" ht="28.5" customHeight="1">
      <c r="A25" s="177" t="s">
        <v>93</v>
      </c>
      <c r="B25" s="178">
        <f>SUM(B22:B24)</f>
        <v>6693</v>
      </c>
      <c r="C25" s="179">
        <f>SUM(C22:C24)</f>
        <v>1719</v>
      </c>
      <c r="D25" s="180">
        <f>(C25/B25-1)*100</f>
        <v>-74.31645002241147</v>
      </c>
      <c r="E25" s="181"/>
      <c r="F25" s="151"/>
      <c r="G25" s="151"/>
      <c r="H25" s="151"/>
    </row>
  </sheetData>
  <sheetProtection/>
  <mergeCells count="2">
    <mergeCell ref="A2:E2"/>
    <mergeCell ref="A3:E3"/>
  </mergeCells>
  <printOptions horizontalCentered="1"/>
  <pageMargins left="0.75" right="0.75" top="0.75" bottom="0.9" header="0.51" footer="0.51"/>
  <pageSetup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1"/>
  </sheetPr>
  <dimension ref="A1:J36"/>
  <sheetViews>
    <sheetView showZeros="0" view="pageBreakPreview" zoomScale="60" zoomScaleNormal="70" workbookViewId="0" topLeftCell="A1">
      <selection activeCell="A2" sqref="A2:D2"/>
    </sheetView>
  </sheetViews>
  <sheetFormatPr defaultColWidth="9.00390625" defaultRowHeight="14.25"/>
  <cols>
    <col min="1" max="1" width="32.875" style="80" customWidth="1"/>
    <col min="2" max="2" width="16.75390625" style="135" customWidth="1"/>
    <col min="3" max="3" width="13.875" style="135" customWidth="1"/>
    <col min="4" max="4" width="19.25390625" style="81" customWidth="1"/>
    <col min="5" max="8" width="9.00390625" style="79" customWidth="1"/>
    <col min="9" max="10" width="9.00390625" style="136" customWidth="1"/>
    <col min="11" max="16384" width="9.00390625" style="79" customWidth="1"/>
  </cols>
  <sheetData>
    <row r="1" spans="1:10" s="74" customFormat="1" ht="15.75" customHeight="1">
      <c r="A1" s="82" t="s">
        <v>158</v>
      </c>
      <c r="B1" s="137"/>
      <c r="C1" s="137"/>
      <c r="D1" s="84"/>
      <c r="I1" s="145"/>
      <c r="J1" s="145"/>
    </row>
    <row r="2" spans="1:10" s="131" customFormat="1" ht="24.75" customHeight="1">
      <c r="A2" s="85" t="s">
        <v>948</v>
      </c>
      <c r="B2" s="85"/>
      <c r="C2" s="85"/>
      <c r="D2" s="85"/>
      <c r="I2" s="146"/>
      <c r="J2" s="146"/>
    </row>
    <row r="3" spans="1:10" s="76" customFormat="1" ht="18.75" customHeight="1">
      <c r="A3" s="138"/>
      <c r="B3" s="138"/>
      <c r="C3" s="138"/>
      <c r="D3" s="88" t="s">
        <v>3</v>
      </c>
      <c r="I3" s="147"/>
      <c r="J3" s="147"/>
    </row>
    <row r="4" spans="1:10" s="77" customFormat="1" ht="27" customHeight="1">
      <c r="A4" s="118" t="s">
        <v>239</v>
      </c>
      <c r="B4" s="119" t="s">
        <v>8</v>
      </c>
      <c r="C4" s="119" t="s">
        <v>949</v>
      </c>
      <c r="D4" s="119" t="s">
        <v>242</v>
      </c>
      <c r="I4" s="148"/>
      <c r="J4" s="148"/>
    </row>
    <row r="5" spans="1:10" s="132" customFormat="1" ht="18.75" customHeight="1">
      <c r="A5" s="139" t="s">
        <v>243</v>
      </c>
      <c r="B5" s="94">
        <f>B11+B17+B21+B24+B28+B33</f>
        <v>264944.947514</v>
      </c>
      <c r="C5" s="94">
        <f>C11+C17+C21+C24+C28+C33</f>
        <v>300762.4433419999</v>
      </c>
      <c r="D5" s="95">
        <f aca="true" t="shared" si="0" ref="D5:D23">(C5/B5-1)*100</f>
        <v>13.518844637000393</v>
      </c>
      <c r="E5" s="140">
        <f aca="true" t="shared" si="1" ref="E5:F7">IF(B5=SUM(B11,B17,B21,B24,B28,B33,),"","1")</f>
      </c>
      <c r="F5" s="140">
        <f t="shared" si="1"/>
      </c>
      <c r="G5" s="140"/>
      <c r="H5" s="140"/>
      <c r="I5" s="140"/>
      <c r="J5" s="140"/>
    </row>
    <row r="6" spans="1:10" s="133" customFormat="1" ht="18.75" customHeight="1">
      <c r="A6" s="124" t="s">
        <v>249</v>
      </c>
      <c r="B6" s="94">
        <f>B12+B18+B22+B25+B29+B34</f>
        <v>165031.02144199997</v>
      </c>
      <c r="C6" s="94">
        <f>C12+C18+C22+C25+C29+C34</f>
        <v>174786.309382</v>
      </c>
      <c r="D6" s="95">
        <f t="shared" si="0"/>
        <v>5.911184366890998</v>
      </c>
      <c r="E6" s="140">
        <f t="shared" si="1"/>
      </c>
      <c r="F6" s="140">
        <f t="shared" si="1"/>
      </c>
      <c r="I6" s="140"/>
      <c r="J6" s="140"/>
    </row>
    <row r="7" spans="1:10" s="133" customFormat="1" ht="18.75" customHeight="1">
      <c r="A7" s="124" t="s">
        <v>311</v>
      </c>
      <c r="B7" s="94">
        <f>SUM(B13,B19,B23,B26,B30,B35)</f>
        <v>6952.475469</v>
      </c>
      <c r="C7" s="94">
        <f>SUM(C13,C19,C23,C26,C30,C35)</f>
        <v>2694.6859600000003</v>
      </c>
      <c r="D7" s="95">
        <f t="shared" si="0"/>
        <v>-61.24134530189739</v>
      </c>
      <c r="E7" s="140">
        <f t="shared" si="1"/>
      </c>
      <c r="F7" s="140">
        <f t="shared" si="1"/>
      </c>
      <c r="I7" s="140"/>
      <c r="J7" s="140"/>
    </row>
    <row r="8" spans="1:10" s="133" customFormat="1" ht="18.75" customHeight="1">
      <c r="A8" s="124" t="s">
        <v>950</v>
      </c>
      <c r="B8" s="94">
        <f>SUM(B14,B20)</f>
        <v>21719</v>
      </c>
      <c r="C8" s="94">
        <f>SUM(C14,C20)</f>
        <v>14600</v>
      </c>
      <c r="D8" s="95">
        <f t="shared" si="0"/>
        <v>-32.77775219853585</v>
      </c>
      <c r="I8" s="140"/>
      <c r="J8" s="140"/>
    </row>
    <row r="9" spans="1:10" s="133" customFormat="1" ht="18.75" customHeight="1">
      <c r="A9" s="124" t="s">
        <v>951</v>
      </c>
      <c r="B9" s="94">
        <f>SUM(B15,B31)</f>
        <v>10903.319</v>
      </c>
      <c r="C9" s="94">
        <f>SUM(C15,C31)</f>
        <v>11906.428</v>
      </c>
      <c r="D9" s="95">
        <f t="shared" si="0"/>
        <v>9.200033494388272</v>
      </c>
      <c r="F9" s="140"/>
      <c r="G9" s="140"/>
      <c r="H9" s="140"/>
      <c r="I9" s="140"/>
      <c r="J9" s="140"/>
    </row>
    <row r="10" spans="1:10" s="133" customFormat="1" ht="18.75" customHeight="1">
      <c r="A10" s="124" t="s">
        <v>312</v>
      </c>
      <c r="B10" s="94">
        <f>SUM(B16,B27,B32)</f>
        <v>59146.2</v>
      </c>
      <c r="C10" s="94">
        <f>SUM(C16,C27,C32)</f>
        <v>94845.02</v>
      </c>
      <c r="D10" s="95">
        <f t="shared" si="0"/>
        <v>60.35691219385186</v>
      </c>
      <c r="I10" s="140"/>
      <c r="J10" s="140"/>
    </row>
    <row r="11" spans="1:10" s="133" customFormat="1" ht="18.75" customHeight="1">
      <c r="A11" s="124" t="s">
        <v>248</v>
      </c>
      <c r="B11" s="97">
        <v>145693.310321</v>
      </c>
      <c r="C11" s="97">
        <v>176350.626509</v>
      </c>
      <c r="D11" s="95">
        <f t="shared" si="0"/>
        <v>21.042363661347263</v>
      </c>
      <c r="I11" s="140"/>
      <c r="J11" s="140"/>
    </row>
    <row r="12" spans="1:10" s="133" customFormat="1" ht="18.75" customHeight="1">
      <c r="A12" s="124" t="s">
        <v>249</v>
      </c>
      <c r="B12" s="97">
        <v>71738.310321</v>
      </c>
      <c r="C12" s="97">
        <v>75644.626509</v>
      </c>
      <c r="D12" s="95">
        <f t="shared" si="0"/>
        <v>5.445230268904866</v>
      </c>
      <c r="I12" s="140"/>
      <c r="J12" s="140"/>
    </row>
    <row r="13" spans="1:10" s="133" customFormat="1" ht="18.75" customHeight="1">
      <c r="A13" s="124" t="s">
        <v>311</v>
      </c>
      <c r="B13" s="97">
        <v>410</v>
      </c>
      <c r="C13" s="97">
        <v>300</v>
      </c>
      <c r="D13" s="95">
        <f t="shared" si="0"/>
        <v>-26.82926829268293</v>
      </c>
      <c r="F13" s="140"/>
      <c r="G13" s="140"/>
      <c r="H13" s="140"/>
      <c r="I13" s="140"/>
      <c r="J13" s="140"/>
    </row>
    <row r="14" spans="1:10" s="133" customFormat="1" ht="18.75" customHeight="1">
      <c r="A14" s="124" t="s">
        <v>950</v>
      </c>
      <c r="B14" s="97">
        <v>8673</v>
      </c>
      <c r="C14" s="97">
        <v>0</v>
      </c>
      <c r="D14" s="95"/>
      <c r="I14" s="140"/>
      <c r="J14" s="140"/>
    </row>
    <row r="15" spans="1:10" s="133" customFormat="1" ht="18.75" customHeight="1">
      <c r="A15" s="124" t="s">
        <v>951</v>
      </c>
      <c r="B15" s="97">
        <v>7230</v>
      </c>
      <c r="C15" s="97">
        <v>7230</v>
      </c>
      <c r="D15" s="95">
        <f t="shared" si="0"/>
        <v>0</v>
      </c>
      <c r="I15" s="140"/>
      <c r="J15" s="140"/>
    </row>
    <row r="16" spans="1:10" s="133" customFormat="1" ht="18.75" customHeight="1">
      <c r="A16" s="124" t="s">
        <v>312</v>
      </c>
      <c r="B16" s="97">
        <v>56648</v>
      </c>
      <c r="C16" s="97">
        <v>92116</v>
      </c>
      <c r="D16" s="95">
        <f t="shared" si="0"/>
        <v>62.611213105493576</v>
      </c>
      <c r="I16" s="140"/>
      <c r="J16" s="140"/>
    </row>
    <row r="17" spans="1:10" s="133" customFormat="1" ht="18.75" customHeight="1">
      <c r="A17" s="124" t="s">
        <v>308</v>
      </c>
      <c r="B17" s="97">
        <v>52679.191752</v>
      </c>
      <c r="C17" s="97">
        <v>58893.587996</v>
      </c>
      <c r="D17" s="95">
        <f t="shared" si="0"/>
        <v>11.796681075244608</v>
      </c>
      <c r="F17" s="140"/>
      <c r="G17" s="140"/>
      <c r="H17" s="140"/>
      <c r="I17" s="140"/>
      <c r="J17" s="140"/>
    </row>
    <row r="18" spans="1:10" s="133" customFormat="1" ht="18.75" customHeight="1">
      <c r="A18" s="124" t="s">
        <v>249</v>
      </c>
      <c r="B18" s="97">
        <v>39485.191752</v>
      </c>
      <c r="C18" s="97">
        <v>43472.587996</v>
      </c>
      <c r="D18" s="95">
        <f t="shared" si="0"/>
        <v>10.098459870840149</v>
      </c>
      <c r="I18" s="140"/>
      <c r="J18" s="140"/>
    </row>
    <row r="19" spans="1:10" s="133" customFormat="1" ht="18.75" customHeight="1">
      <c r="A19" s="124" t="s">
        <v>311</v>
      </c>
      <c r="B19" s="97">
        <v>70</v>
      </c>
      <c r="C19" s="97">
        <v>71</v>
      </c>
      <c r="D19" s="95">
        <f t="shared" si="0"/>
        <v>1.4285714285714235</v>
      </c>
      <c r="I19" s="140"/>
      <c r="J19" s="140"/>
    </row>
    <row r="20" spans="1:10" s="133" customFormat="1" ht="18.75" customHeight="1">
      <c r="A20" s="124" t="s">
        <v>950</v>
      </c>
      <c r="B20" s="97">
        <v>13046</v>
      </c>
      <c r="C20" s="97">
        <v>14600</v>
      </c>
      <c r="D20" s="95">
        <f t="shared" si="0"/>
        <v>11.911697071899429</v>
      </c>
      <c r="I20" s="140"/>
      <c r="J20" s="140"/>
    </row>
    <row r="21" spans="1:10" s="133" customFormat="1" ht="18.75" customHeight="1">
      <c r="A21" s="124" t="s">
        <v>309</v>
      </c>
      <c r="B21" s="97">
        <v>40529.196105</v>
      </c>
      <c r="C21" s="97">
        <v>42368.017968</v>
      </c>
      <c r="D21" s="95">
        <f t="shared" si="0"/>
        <v>4.537030189881186</v>
      </c>
      <c r="F21" s="140"/>
      <c r="G21" s="140"/>
      <c r="H21" s="140"/>
      <c r="I21" s="140"/>
      <c r="J21" s="140"/>
    </row>
    <row r="22" spans="1:10" s="133" customFormat="1" ht="18.75" customHeight="1">
      <c r="A22" s="124" t="s">
        <v>249</v>
      </c>
      <c r="B22" s="97">
        <v>38839.851567</v>
      </c>
      <c r="C22" s="97">
        <v>41947.039692</v>
      </c>
      <c r="D22" s="95">
        <f t="shared" si="0"/>
        <v>7.999999999073126</v>
      </c>
      <c r="I22" s="140"/>
      <c r="J22" s="140"/>
    </row>
    <row r="23" spans="1:10" s="133" customFormat="1" ht="18.75" customHeight="1">
      <c r="A23" s="125" t="s">
        <v>311</v>
      </c>
      <c r="B23" s="97">
        <v>1689.344538</v>
      </c>
      <c r="C23" s="97">
        <v>420.978276</v>
      </c>
      <c r="D23" s="95">
        <f t="shared" si="0"/>
        <v>-75.08037783113252</v>
      </c>
      <c r="I23" s="140"/>
      <c r="J23" s="140"/>
    </row>
    <row r="24" spans="1:10" s="133" customFormat="1" ht="18.75" customHeight="1">
      <c r="A24" s="141" t="s">
        <v>310</v>
      </c>
      <c r="B24" s="142">
        <v>3061.888685</v>
      </c>
      <c r="C24" s="142">
        <v>2561.843717</v>
      </c>
      <c r="D24" s="95">
        <f aca="true" t="shared" si="2" ref="D24:D35">(C24/B24-1)*100</f>
        <v>-16.331258887682253</v>
      </c>
      <c r="F24" s="140"/>
      <c r="G24" s="140"/>
      <c r="H24" s="140"/>
      <c r="I24" s="140"/>
      <c r="J24" s="140"/>
    </row>
    <row r="25" spans="1:10" s="133" customFormat="1" ht="18.75" customHeight="1">
      <c r="A25" s="141" t="s">
        <v>249</v>
      </c>
      <c r="B25" s="142">
        <v>2061.903913</v>
      </c>
      <c r="C25" s="142">
        <v>2206.127</v>
      </c>
      <c r="D25" s="95">
        <f t="shared" si="2"/>
        <v>6.994656059901461</v>
      </c>
      <c r="I25" s="140"/>
      <c r="J25" s="140"/>
    </row>
    <row r="26" spans="1:10" s="133" customFormat="1" ht="18.75" customHeight="1">
      <c r="A26" s="141" t="s">
        <v>311</v>
      </c>
      <c r="B26" s="142">
        <v>829.984772</v>
      </c>
      <c r="C26" s="142">
        <v>150.716717</v>
      </c>
      <c r="D26" s="95">
        <f t="shared" si="2"/>
        <v>-81.84102623511748</v>
      </c>
      <c r="I26" s="140"/>
      <c r="J26" s="140"/>
    </row>
    <row r="27" spans="1:10" s="133" customFormat="1" ht="18.75" customHeight="1">
      <c r="A27" s="141" t="s">
        <v>312</v>
      </c>
      <c r="B27" s="142">
        <v>170</v>
      </c>
      <c r="C27" s="142">
        <v>205</v>
      </c>
      <c r="D27" s="95">
        <f t="shared" si="2"/>
        <v>20.58823529411764</v>
      </c>
      <c r="I27" s="140"/>
      <c r="J27" s="140"/>
    </row>
    <row r="28" spans="1:10" s="133" customFormat="1" ht="18.75" customHeight="1">
      <c r="A28" s="141" t="s">
        <v>313</v>
      </c>
      <c r="B28" s="142">
        <v>21447.450603</v>
      </c>
      <c r="C28" s="142">
        <v>17770.448</v>
      </c>
      <c r="D28" s="95">
        <f t="shared" si="2"/>
        <v>-17.144240921975474</v>
      </c>
      <c r="I28" s="140"/>
      <c r="J28" s="140"/>
    </row>
    <row r="29" spans="1:10" s="133" customFormat="1" ht="18.75" customHeight="1">
      <c r="A29" s="141" t="s">
        <v>249</v>
      </c>
      <c r="B29" s="142">
        <v>11614</v>
      </c>
      <c r="C29" s="142">
        <v>8750</v>
      </c>
      <c r="D29" s="95">
        <f t="shared" si="2"/>
        <v>-24.65989323230584</v>
      </c>
      <c r="I29" s="140"/>
      <c r="J29" s="140"/>
    </row>
    <row r="30" spans="1:10" s="133" customFormat="1" ht="18.75" customHeight="1">
      <c r="A30" s="141" t="s">
        <v>311</v>
      </c>
      <c r="B30" s="142">
        <v>3711</v>
      </c>
      <c r="C30" s="142">
        <v>1700</v>
      </c>
      <c r="D30" s="95">
        <f t="shared" si="2"/>
        <v>-54.19024521692266</v>
      </c>
      <c r="I30" s="140"/>
      <c r="J30" s="140"/>
    </row>
    <row r="31" spans="1:10" s="133" customFormat="1" ht="18.75" customHeight="1">
      <c r="A31" s="124" t="s">
        <v>951</v>
      </c>
      <c r="B31" s="97">
        <v>3673.319</v>
      </c>
      <c r="C31" s="142">
        <v>4676.428</v>
      </c>
      <c r="D31" s="95">
        <f t="shared" si="2"/>
        <v>27.307974069227313</v>
      </c>
      <c r="I31" s="140"/>
      <c r="J31" s="140"/>
    </row>
    <row r="32" spans="1:10" s="133" customFormat="1" ht="18.75" customHeight="1">
      <c r="A32" s="124" t="s">
        <v>312</v>
      </c>
      <c r="B32" s="97">
        <v>2328.2</v>
      </c>
      <c r="C32" s="142">
        <v>2524.02</v>
      </c>
      <c r="D32" s="95">
        <f t="shared" si="2"/>
        <v>8.410789451078093</v>
      </c>
      <c r="I32" s="140"/>
      <c r="J32" s="140"/>
    </row>
    <row r="33" spans="1:10" s="133" customFormat="1" ht="18.75" customHeight="1">
      <c r="A33" s="141" t="s">
        <v>314</v>
      </c>
      <c r="B33" s="142">
        <v>1533.910048</v>
      </c>
      <c r="C33" s="142">
        <v>2817.919152</v>
      </c>
      <c r="D33" s="95">
        <f t="shared" si="2"/>
        <v>83.70823997627272</v>
      </c>
      <c r="I33" s="140"/>
      <c r="J33" s="140"/>
    </row>
    <row r="34" spans="1:10" s="133" customFormat="1" ht="18.75" customHeight="1">
      <c r="A34" s="141" t="s">
        <v>249</v>
      </c>
      <c r="B34" s="142">
        <v>1291.763889</v>
      </c>
      <c r="C34" s="142">
        <v>2765.928185</v>
      </c>
      <c r="D34" s="95">
        <f t="shared" si="2"/>
        <v>114.12025901584867</v>
      </c>
      <c r="I34" s="140"/>
      <c r="J34" s="140"/>
    </row>
    <row r="35" spans="1:10" s="133" customFormat="1" ht="18.75" customHeight="1">
      <c r="A35" s="143" t="s">
        <v>311</v>
      </c>
      <c r="B35" s="144">
        <v>242.146159</v>
      </c>
      <c r="C35" s="144">
        <v>51.990967</v>
      </c>
      <c r="D35" s="105">
        <f t="shared" si="2"/>
        <v>-78.52909696577099</v>
      </c>
      <c r="F35" s="140"/>
      <c r="G35" s="140"/>
      <c r="H35" s="140"/>
      <c r="I35" s="140"/>
      <c r="J35" s="140"/>
    </row>
    <row r="36" spans="1:10" s="134" customFormat="1" ht="34.5" customHeight="1">
      <c r="A36" s="134" t="s">
        <v>952</v>
      </c>
      <c r="I36" s="136"/>
      <c r="J36" s="136"/>
    </row>
  </sheetData>
  <sheetProtection/>
  <mergeCells count="2">
    <mergeCell ref="A2:D2"/>
    <mergeCell ref="A36:D36"/>
  </mergeCells>
  <printOptions horizontalCentered="1"/>
  <pageMargins left="0.39" right="0.39" top="0.75" bottom="0.9" header="0.3" footer="0.3"/>
  <pageSetup horizontalDpi="600" verticalDpi="600" orientation="portrait" paperSize="9" scale="98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1"/>
  </sheetPr>
  <dimension ref="A1:D31"/>
  <sheetViews>
    <sheetView showZeros="0" view="pageBreakPreview" zoomScale="60" workbookViewId="0" topLeftCell="A1">
      <selection activeCell="A2" sqref="A2:D2"/>
    </sheetView>
  </sheetViews>
  <sheetFormatPr defaultColWidth="9.00390625" defaultRowHeight="14.25"/>
  <cols>
    <col min="1" max="1" width="32.00390625" style="112" customWidth="1"/>
    <col min="2" max="2" width="15.50390625" style="113" customWidth="1"/>
    <col min="3" max="3" width="16.50390625" style="113" customWidth="1"/>
    <col min="4" max="4" width="16.875" style="114" customWidth="1"/>
    <col min="5" max="16384" width="9.00390625" style="115" customWidth="1"/>
  </cols>
  <sheetData>
    <row r="1" spans="1:4" s="106" customFormat="1" ht="21.75" customHeight="1">
      <c r="A1" s="82" t="s">
        <v>190</v>
      </c>
      <c r="B1" s="116"/>
      <c r="C1" s="116"/>
      <c r="D1" s="116"/>
    </row>
    <row r="2" spans="1:4" s="107" customFormat="1" ht="31.5" customHeight="1">
      <c r="A2" s="85" t="s">
        <v>953</v>
      </c>
      <c r="B2" s="85"/>
      <c r="C2" s="85"/>
      <c r="D2" s="85"/>
    </row>
    <row r="3" spans="1:4" s="108" customFormat="1" ht="20.25" customHeight="1">
      <c r="A3" s="76"/>
      <c r="B3" s="117"/>
      <c r="C3" s="117"/>
      <c r="D3" s="88" t="s">
        <v>3</v>
      </c>
    </row>
    <row r="4" spans="1:4" s="109" customFormat="1" ht="24.75" customHeight="1">
      <c r="A4" s="118" t="s">
        <v>239</v>
      </c>
      <c r="B4" s="119" t="s">
        <v>8</v>
      </c>
      <c r="C4" s="119" t="s">
        <v>949</v>
      </c>
      <c r="D4" s="119" t="s">
        <v>242</v>
      </c>
    </row>
    <row r="5" spans="1:4" s="110" customFormat="1" ht="22.5" customHeight="1">
      <c r="A5" s="120" t="s">
        <v>263</v>
      </c>
      <c r="B5" s="97">
        <f>B11+B15+B19+B22+B25+B30</f>
        <v>230893.37359600002</v>
      </c>
      <c r="C5" s="97">
        <f>C11+C15+C19+C22+C25+C30</f>
        <v>256618.652884</v>
      </c>
      <c r="D5" s="99">
        <f aca="true" t="shared" si="0" ref="D5:D12">(C5/B5-1)*100</f>
        <v>11.141627361299754</v>
      </c>
    </row>
    <row r="6" spans="1:4" s="111" customFormat="1" ht="22.5" customHeight="1">
      <c r="A6" s="121" t="s">
        <v>264</v>
      </c>
      <c r="B6" s="97">
        <f>B12+B16+B20+B23+B26+B31</f>
        <v>223053.79999600002</v>
      </c>
      <c r="C6" s="97">
        <f>C12+C16+C20+C23+C26+C31</f>
        <v>245903.809122</v>
      </c>
      <c r="D6" s="99">
        <f t="shared" si="0"/>
        <v>10.244169400570513</v>
      </c>
    </row>
    <row r="7" spans="1:4" s="111" customFormat="1" ht="22.5" customHeight="1">
      <c r="A7" s="122" t="s">
        <v>318</v>
      </c>
      <c r="B7" s="97">
        <f>B17+B21</f>
        <v>2200</v>
      </c>
      <c r="C7" s="97">
        <f>C17+C21</f>
        <v>3700</v>
      </c>
      <c r="D7" s="99">
        <f t="shared" si="0"/>
        <v>68.18181818181819</v>
      </c>
    </row>
    <row r="8" spans="1:4" s="111" customFormat="1" ht="22.5" customHeight="1">
      <c r="A8" s="122" t="s">
        <v>319</v>
      </c>
      <c r="B8" s="97">
        <f>B13+B18+B27</f>
        <v>636.35</v>
      </c>
      <c r="C8" s="97">
        <f>C13+C18+C27</f>
        <v>1000</v>
      </c>
      <c r="D8" s="99">
        <f t="shared" si="0"/>
        <v>57.14622456195488</v>
      </c>
    </row>
    <row r="9" spans="1:4" s="111" customFormat="1" ht="22.5" customHeight="1">
      <c r="A9" s="122" t="s">
        <v>320</v>
      </c>
      <c r="B9" s="123">
        <v>3095.2236</v>
      </c>
      <c r="C9" s="123">
        <v>3897.843762</v>
      </c>
      <c r="D9" s="99">
        <f t="shared" si="0"/>
        <v>25.930926670370447</v>
      </c>
    </row>
    <row r="10" spans="1:4" s="111" customFormat="1" ht="22.5" customHeight="1">
      <c r="A10" s="122" t="s">
        <v>321</v>
      </c>
      <c r="B10" s="123">
        <v>1908</v>
      </c>
      <c r="C10" s="123">
        <v>2117</v>
      </c>
      <c r="D10" s="99">
        <f t="shared" si="0"/>
        <v>10.953878406708606</v>
      </c>
    </row>
    <row r="11" spans="1:4" s="111" customFormat="1" ht="22.5" customHeight="1">
      <c r="A11" s="124" t="s">
        <v>268</v>
      </c>
      <c r="B11" s="97">
        <v>122836.272281</v>
      </c>
      <c r="C11" s="97">
        <v>136935.027052</v>
      </c>
      <c r="D11" s="99">
        <f t="shared" si="0"/>
        <v>11.477680418978942</v>
      </c>
    </row>
    <row r="12" spans="1:4" s="111" customFormat="1" ht="22.5" customHeight="1">
      <c r="A12" s="125" t="s">
        <v>269</v>
      </c>
      <c r="B12" s="97">
        <v>121471.272281</v>
      </c>
      <c r="C12" s="97">
        <v>135384.027052</v>
      </c>
      <c r="D12" s="99">
        <f t="shared" si="0"/>
        <v>11.453535070263833</v>
      </c>
    </row>
    <row r="13" spans="1:4" s="111" customFormat="1" ht="22.5" customHeight="1">
      <c r="A13" s="124" t="s">
        <v>273</v>
      </c>
      <c r="B13" s="97">
        <v>596</v>
      </c>
      <c r="C13" s="97">
        <v>700</v>
      </c>
      <c r="D13" s="99">
        <f aca="true" t="shared" si="1" ref="D13:D31">(C13/B13-1)*100</f>
        <v>17.4496644295302</v>
      </c>
    </row>
    <row r="14" spans="1:4" s="111" customFormat="1" ht="22.5" customHeight="1">
      <c r="A14" s="124" t="s">
        <v>279</v>
      </c>
      <c r="B14" s="97">
        <v>769</v>
      </c>
      <c r="C14" s="97">
        <v>851</v>
      </c>
      <c r="D14" s="99">
        <f t="shared" si="1"/>
        <v>10.663198959687904</v>
      </c>
    </row>
    <row r="15" spans="1:4" s="111" customFormat="1" ht="22.5" customHeight="1">
      <c r="A15" s="124" t="s">
        <v>322</v>
      </c>
      <c r="B15" s="97">
        <v>53523.664768</v>
      </c>
      <c r="C15" s="97">
        <v>58811.752648</v>
      </c>
      <c r="D15" s="99">
        <f t="shared" si="1"/>
        <v>9.879906211432598</v>
      </c>
    </row>
    <row r="16" spans="1:4" s="111" customFormat="1" ht="22.5" customHeight="1">
      <c r="A16" s="125" t="s">
        <v>269</v>
      </c>
      <c r="B16" s="97">
        <v>51523.314768</v>
      </c>
      <c r="C16" s="97">
        <v>55051.752648</v>
      </c>
      <c r="D16" s="99">
        <f t="shared" si="1"/>
        <v>6.848235397679492</v>
      </c>
    </row>
    <row r="17" spans="1:4" s="111" customFormat="1" ht="22.5" customHeight="1">
      <c r="A17" s="124" t="s">
        <v>275</v>
      </c>
      <c r="B17" s="97">
        <v>2000</v>
      </c>
      <c r="C17" s="97">
        <v>3500</v>
      </c>
      <c r="D17" s="99">
        <f t="shared" si="1"/>
        <v>75</v>
      </c>
    </row>
    <row r="18" spans="1:4" s="111" customFormat="1" ht="22.5" customHeight="1">
      <c r="A18" s="124" t="s">
        <v>273</v>
      </c>
      <c r="B18" s="97">
        <v>0.35</v>
      </c>
      <c r="C18" s="97">
        <v>260</v>
      </c>
      <c r="D18" s="99">
        <f t="shared" si="1"/>
        <v>74185.71428571429</v>
      </c>
    </row>
    <row r="19" spans="1:4" ht="22.5" customHeight="1">
      <c r="A19" s="126" t="s">
        <v>323</v>
      </c>
      <c r="B19" s="123">
        <v>37694.929462</v>
      </c>
      <c r="C19" s="97">
        <v>41259.320907</v>
      </c>
      <c r="D19" s="99">
        <f t="shared" si="1"/>
        <v>9.45589100675528</v>
      </c>
    </row>
    <row r="20" spans="1:4" ht="22.5" customHeight="1">
      <c r="A20" s="125" t="s">
        <v>269</v>
      </c>
      <c r="B20" s="97">
        <v>37494.929462</v>
      </c>
      <c r="C20" s="97">
        <v>41059.320907</v>
      </c>
      <c r="D20" s="99">
        <f t="shared" si="1"/>
        <v>9.506329245431466</v>
      </c>
    </row>
    <row r="21" spans="1:4" ht="22.5" customHeight="1">
      <c r="A21" s="124" t="s">
        <v>275</v>
      </c>
      <c r="B21" s="97">
        <v>200</v>
      </c>
      <c r="C21" s="97">
        <v>200</v>
      </c>
      <c r="D21" s="99">
        <f t="shared" si="1"/>
        <v>0</v>
      </c>
    </row>
    <row r="22" spans="1:4" ht="22.5" customHeight="1">
      <c r="A22" s="126" t="s">
        <v>324</v>
      </c>
      <c r="B22" s="123">
        <v>962.153957</v>
      </c>
      <c r="C22" s="123">
        <v>1030.773215</v>
      </c>
      <c r="D22" s="99">
        <f t="shared" si="1"/>
        <v>7.131837633756155</v>
      </c>
    </row>
    <row r="23" spans="1:4" ht="22.5" customHeight="1">
      <c r="A23" s="125" t="s">
        <v>269</v>
      </c>
      <c r="B23" s="97">
        <v>735.153957</v>
      </c>
      <c r="C23" s="123">
        <v>764.773215</v>
      </c>
      <c r="D23" s="99">
        <f t="shared" si="1"/>
        <v>4.028987087394542</v>
      </c>
    </row>
    <row r="24" spans="1:4" ht="22.5" customHeight="1">
      <c r="A24" s="124" t="s">
        <v>279</v>
      </c>
      <c r="B24" s="97">
        <v>227</v>
      </c>
      <c r="C24" s="123">
        <v>266</v>
      </c>
      <c r="D24" s="99">
        <f t="shared" si="1"/>
        <v>17.180616740088105</v>
      </c>
    </row>
    <row r="25" spans="1:4" ht="22.5" customHeight="1">
      <c r="A25" s="126" t="s">
        <v>325</v>
      </c>
      <c r="B25" s="123">
        <v>13099.93499</v>
      </c>
      <c r="C25" s="123">
        <v>15707.231762</v>
      </c>
      <c r="D25" s="99">
        <f t="shared" si="1"/>
        <v>19.903127565062828</v>
      </c>
    </row>
    <row r="26" spans="1:4" ht="22.5" customHeight="1">
      <c r="A26" s="125" t="s">
        <v>269</v>
      </c>
      <c r="B26" s="97">
        <v>9052.71139</v>
      </c>
      <c r="C26" s="123">
        <v>10769.388</v>
      </c>
      <c r="D26" s="99">
        <f t="shared" si="1"/>
        <v>18.963120948452115</v>
      </c>
    </row>
    <row r="27" spans="1:4" ht="22.5" customHeight="1">
      <c r="A27" s="124" t="s">
        <v>273</v>
      </c>
      <c r="B27" s="97">
        <v>40</v>
      </c>
      <c r="C27" s="123">
        <v>40</v>
      </c>
      <c r="D27" s="99">
        <f t="shared" si="1"/>
        <v>0</v>
      </c>
    </row>
    <row r="28" spans="1:4" ht="22.5" customHeight="1">
      <c r="A28" s="126" t="s">
        <v>326</v>
      </c>
      <c r="B28" s="123">
        <v>3095.2236</v>
      </c>
      <c r="C28" s="123">
        <v>3897.843762</v>
      </c>
      <c r="D28" s="99">
        <f t="shared" si="1"/>
        <v>25.930926670370447</v>
      </c>
    </row>
    <row r="29" spans="1:4" ht="22.5" customHeight="1">
      <c r="A29" s="126" t="s">
        <v>279</v>
      </c>
      <c r="B29" s="123">
        <v>912</v>
      </c>
      <c r="C29" s="123">
        <v>1000</v>
      </c>
      <c r="D29" s="99">
        <f t="shared" si="1"/>
        <v>9.649122807017552</v>
      </c>
    </row>
    <row r="30" spans="1:4" ht="22.5" customHeight="1">
      <c r="A30" s="126" t="s">
        <v>327</v>
      </c>
      <c r="B30" s="123">
        <v>2776.418138</v>
      </c>
      <c r="C30" s="123">
        <v>2874.5473</v>
      </c>
      <c r="D30" s="99">
        <f t="shared" si="1"/>
        <v>3.5343798060146536</v>
      </c>
    </row>
    <row r="31" spans="1:4" ht="24" customHeight="1">
      <c r="A31" s="127" t="s">
        <v>269</v>
      </c>
      <c r="B31" s="128">
        <v>2776.418138</v>
      </c>
      <c r="C31" s="129">
        <v>2874.5473</v>
      </c>
      <c r="D31" s="130">
        <f t="shared" si="1"/>
        <v>3.5343798060146536</v>
      </c>
    </row>
  </sheetData>
  <sheetProtection/>
  <mergeCells count="1">
    <mergeCell ref="A2:D2"/>
  </mergeCells>
  <printOptions horizontalCentered="1"/>
  <pageMargins left="0.71" right="0.71" top="0.75" bottom="0.9" header="0.31" footer="0.31"/>
  <pageSetup horizontalDpi="600" verticalDpi="600" orientation="portrait" paperSize="9" scale="97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1"/>
  </sheetPr>
  <dimension ref="A1:D18"/>
  <sheetViews>
    <sheetView zoomScale="70" zoomScaleNormal="70" workbookViewId="0" topLeftCell="A1">
      <selection activeCell="A4" sqref="A4"/>
    </sheetView>
  </sheetViews>
  <sheetFormatPr defaultColWidth="9.00390625" defaultRowHeight="14.25"/>
  <cols>
    <col min="1" max="1" width="40.375" style="80" customWidth="1"/>
    <col min="2" max="2" width="14.00390625" style="81" customWidth="1"/>
    <col min="3" max="3" width="14.625" style="81" customWidth="1"/>
    <col min="4" max="4" width="13.125" style="79" customWidth="1"/>
    <col min="5" max="250" width="9.00390625" style="79" customWidth="1"/>
    <col min="251" max="16384" width="9.00390625" style="1" customWidth="1"/>
  </cols>
  <sheetData>
    <row r="1" spans="1:3" s="74" customFormat="1" ht="16.5" customHeight="1">
      <c r="A1" s="82" t="s">
        <v>197</v>
      </c>
      <c r="B1" s="83"/>
      <c r="C1" s="84"/>
    </row>
    <row r="2" spans="1:4" s="75" customFormat="1" ht="36" customHeight="1">
      <c r="A2" s="85" t="s">
        <v>954</v>
      </c>
      <c r="B2" s="85"/>
      <c r="C2" s="85"/>
      <c r="D2" s="85"/>
    </row>
    <row r="3" spans="2:4" s="76" customFormat="1" ht="24" customHeight="1">
      <c r="B3" s="86"/>
      <c r="C3" s="87"/>
      <c r="D3" s="88" t="s">
        <v>3</v>
      </c>
    </row>
    <row r="4" spans="1:4" s="77" customFormat="1" ht="48.75" customHeight="1">
      <c r="A4" s="89" t="s">
        <v>239</v>
      </c>
      <c r="B4" s="90" t="s">
        <v>8</v>
      </c>
      <c r="C4" s="91" t="s">
        <v>949</v>
      </c>
      <c r="D4" s="92" t="s">
        <v>242</v>
      </c>
    </row>
    <row r="5" spans="1:4" s="77" customFormat="1" ht="39" customHeight="1">
      <c r="A5" s="93" t="s">
        <v>286</v>
      </c>
      <c r="B5" s="94">
        <f>SUM(B6:B11)</f>
        <v>34051.573918</v>
      </c>
      <c r="C5" s="94">
        <f>SUM(C6:C11)</f>
        <v>44143.790457999996</v>
      </c>
      <c r="D5" s="95">
        <f aca="true" t="shared" si="0" ref="D5:D18">(C5/B5-1)*100</f>
        <v>29.63803248655461</v>
      </c>
    </row>
    <row r="6" spans="1:4" s="77" customFormat="1" ht="39" customHeight="1">
      <c r="A6" s="96" t="s">
        <v>287</v>
      </c>
      <c r="B6" s="97">
        <v>22857.03804</v>
      </c>
      <c r="C6" s="98">
        <v>39415.599457</v>
      </c>
      <c r="D6" s="99">
        <f t="shared" si="0"/>
        <v>72.44403840962413</v>
      </c>
    </row>
    <row r="7" spans="1:4" s="77" customFormat="1" ht="39" customHeight="1">
      <c r="A7" s="96" t="s">
        <v>331</v>
      </c>
      <c r="B7" s="97">
        <v>-844.473016000003</v>
      </c>
      <c r="C7" s="98">
        <v>81.835348</v>
      </c>
      <c r="D7" s="99">
        <f t="shared" si="0"/>
        <v>-109.69070017034146</v>
      </c>
    </row>
    <row r="8" spans="1:4" s="77" customFormat="1" ht="39" customHeight="1">
      <c r="A8" s="100" t="s">
        <v>332</v>
      </c>
      <c r="B8" s="94">
        <v>2834.26664300001</v>
      </c>
      <c r="C8" s="98">
        <v>1108.697061</v>
      </c>
      <c r="D8" s="99">
        <f t="shared" si="0"/>
        <v>-60.882400964700054</v>
      </c>
    </row>
    <row r="9" spans="1:4" s="77" customFormat="1" ht="39" customHeight="1">
      <c r="A9" s="100" t="s">
        <v>333</v>
      </c>
      <c r="B9" s="94">
        <v>2099.734728</v>
      </c>
      <c r="C9" s="98">
        <v>1531.070502</v>
      </c>
      <c r="D9" s="99">
        <f t="shared" si="0"/>
        <v>-27.082669940009673</v>
      </c>
    </row>
    <row r="10" spans="1:4" s="77" customFormat="1" ht="39" customHeight="1">
      <c r="A10" s="101" t="s">
        <v>334</v>
      </c>
      <c r="B10" s="94">
        <v>8347.515613</v>
      </c>
      <c r="C10" s="98">
        <v>2063.216238</v>
      </c>
      <c r="D10" s="99">
        <f t="shared" si="0"/>
        <v>-75.28346955366156</v>
      </c>
    </row>
    <row r="11" spans="1:4" s="77" customFormat="1" ht="39" customHeight="1">
      <c r="A11" s="102" t="s">
        <v>335</v>
      </c>
      <c r="B11" s="94">
        <v>-1242.50809</v>
      </c>
      <c r="C11" s="98">
        <v>-56.628148</v>
      </c>
      <c r="D11" s="99">
        <f t="shared" si="0"/>
        <v>-95.44243225007895</v>
      </c>
    </row>
    <row r="12" spans="1:4" s="78" customFormat="1" ht="39" customHeight="1">
      <c r="A12" s="96" t="s">
        <v>295</v>
      </c>
      <c r="B12" s="94">
        <f>SUM(B13:B18)</f>
        <v>181060.42666399997</v>
      </c>
      <c r="C12" s="94">
        <f>SUM(C13:C18)</f>
        <v>225204.21712200003</v>
      </c>
      <c r="D12" s="95">
        <f t="shared" si="0"/>
        <v>24.380695037198375</v>
      </c>
    </row>
    <row r="13" spans="1:4" s="78" customFormat="1" ht="39" customHeight="1">
      <c r="A13" s="96" t="s">
        <v>296</v>
      </c>
      <c r="B13" s="97">
        <v>66982.884509</v>
      </c>
      <c r="C13" s="98">
        <v>106398.483966</v>
      </c>
      <c r="D13" s="99">
        <f t="shared" si="0"/>
        <v>58.84428499298806</v>
      </c>
    </row>
    <row r="14" spans="1:4" s="78" customFormat="1" ht="39" customHeight="1">
      <c r="A14" s="96" t="s">
        <v>336</v>
      </c>
      <c r="B14" s="97">
        <v>4399.220766</v>
      </c>
      <c r="C14" s="98">
        <v>4481.056114</v>
      </c>
      <c r="D14" s="99">
        <f t="shared" si="0"/>
        <v>1.8602237158106716</v>
      </c>
    </row>
    <row r="15" spans="1:4" s="78" customFormat="1" ht="39" customHeight="1">
      <c r="A15" s="100" t="s">
        <v>337</v>
      </c>
      <c r="B15" s="94">
        <v>26162.634809</v>
      </c>
      <c r="C15" s="98">
        <v>27271.33187</v>
      </c>
      <c r="D15" s="99">
        <f t="shared" si="0"/>
        <v>4.237711794297594</v>
      </c>
    </row>
    <row r="16" spans="1:4" s="79" customFormat="1" ht="39" customHeight="1">
      <c r="A16" s="100" t="s">
        <v>338</v>
      </c>
      <c r="B16" s="94">
        <v>14650.720553</v>
      </c>
      <c r="C16" s="98">
        <v>16181.791055</v>
      </c>
      <c r="D16" s="99">
        <f t="shared" si="0"/>
        <v>10.450479186066296</v>
      </c>
    </row>
    <row r="17" spans="1:4" s="79" customFormat="1" ht="39" customHeight="1">
      <c r="A17" s="101" t="s">
        <v>339</v>
      </c>
      <c r="B17" s="94">
        <v>66480.835941</v>
      </c>
      <c r="C17" s="94">
        <v>68544.052179</v>
      </c>
      <c r="D17" s="95">
        <f t="shared" si="0"/>
        <v>3.1034751726513488</v>
      </c>
    </row>
    <row r="18" spans="1:4" s="79" customFormat="1" ht="39" customHeight="1">
      <c r="A18" s="103" t="s">
        <v>340</v>
      </c>
      <c r="B18" s="104">
        <v>2384.130086</v>
      </c>
      <c r="C18" s="104">
        <v>2327.501938</v>
      </c>
      <c r="D18" s="105">
        <f t="shared" si="0"/>
        <v>-2.37521217204254</v>
      </c>
    </row>
  </sheetData>
  <sheetProtection/>
  <mergeCells count="1">
    <mergeCell ref="A2:D2"/>
  </mergeCells>
  <printOptions horizontalCentered="1"/>
  <pageMargins left="0.7" right="0.7" top="0.75" bottom="0.9" header="0.3" footer="0.3"/>
  <pageSetup horizontalDpi="600" verticalDpi="6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C101"/>
  <sheetViews>
    <sheetView view="pageBreakPreview" zoomScaleSheetLayoutView="100" workbookViewId="0" topLeftCell="A52">
      <selection activeCell="A58" sqref="A58"/>
    </sheetView>
  </sheetViews>
  <sheetFormatPr defaultColWidth="6.875" defaultRowHeight="12.75" customHeight="1"/>
  <cols>
    <col min="1" max="1" width="40.25390625" style="61" customWidth="1"/>
    <col min="2" max="2" width="12.75390625" style="61" customWidth="1"/>
    <col min="3" max="3" width="23.875" style="62" customWidth="1"/>
    <col min="4" max="215" width="6.875" style="61" customWidth="1"/>
    <col min="216" max="16384" width="6.875" style="61" customWidth="1"/>
  </cols>
  <sheetData>
    <row r="1" ht="15" customHeight="1">
      <c r="A1" s="2" t="s">
        <v>341</v>
      </c>
    </row>
    <row r="2" spans="1:3" ht="22.5" customHeight="1">
      <c r="A2" s="63" t="s">
        <v>955</v>
      </c>
      <c r="B2" s="63"/>
      <c r="C2" s="63"/>
    </row>
    <row r="3" spans="2:3" ht="17.25" customHeight="1">
      <c r="B3" s="64"/>
      <c r="C3" s="5" t="s">
        <v>3</v>
      </c>
    </row>
    <row r="4" spans="1:3" ht="18" customHeight="1">
      <c r="A4" s="65" t="s">
        <v>956</v>
      </c>
      <c r="B4" s="66" t="s">
        <v>949</v>
      </c>
      <c r="C4" s="66" t="s">
        <v>139</v>
      </c>
    </row>
    <row r="5" spans="1:3" ht="18" customHeight="1">
      <c r="A5" s="67" t="s">
        <v>957</v>
      </c>
      <c r="B5" s="68">
        <v>2211</v>
      </c>
      <c r="C5" s="68"/>
    </row>
    <row r="6" spans="1:3" ht="18" customHeight="1">
      <c r="A6" s="69" t="s">
        <v>958</v>
      </c>
      <c r="B6" s="56">
        <v>388</v>
      </c>
      <c r="C6" s="70"/>
    </row>
    <row r="7" spans="1:3" ht="18" customHeight="1">
      <c r="A7" s="69" t="s">
        <v>959</v>
      </c>
      <c r="B7" s="56">
        <v>945</v>
      </c>
      <c r="C7" s="70"/>
    </row>
    <row r="8" spans="1:3" ht="18" customHeight="1">
      <c r="A8" s="69" t="s">
        <v>960</v>
      </c>
      <c r="B8" s="56">
        <v>1295</v>
      </c>
      <c r="C8" s="70"/>
    </row>
    <row r="9" spans="1:3" ht="18" customHeight="1">
      <c r="A9" s="69" t="s">
        <v>961</v>
      </c>
      <c r="B9" s="56">
        <f>5069-16</f>
        <v>5053</v>
      </c>
      <c r="C9" s="56"/>
    </row>
    <row r="10" spans="1:3" ht="18" customHeight="1">
      <c r="A10" s="69" t="s">
        <v>962</v>
      </c>
      <c r="B10" s="56">
        <v>291</v>
      </c>
      <c r="C10" s="70"/>
    </row>
    <row r="11" spans="1:3" ht="18" customHeight="1">
      <c r="A11" s="69" t="s">
        <v>963</v>
      </c>
      <c r="B11" s="56">
        <f>1455-1000</f>
        <v>455</v>
      </c>
      <c r="C11" s="70"/>
    </row>
    <row r="12" spans="1:3" ht="18" customHeight="1">
      <c r="A12" s="69" t="s">
        <v>964</v>
      </c>
      <c r="B12" s="56">
        <v>328</v>
      </c>
      <c r="C12" s="70"/>
    </row>
    <row r="13" spans="1:3" ht="18" customHeight="1">
      <c r="A13" s="69" t="s">
        <v>965</v>
      </c>
      <c r="B13" s="56">
        <v>880</v>
      </c>
      <c r="C13" s="70"/>
    </row>
    <row r="14" spans="1:3" ht="18" customHeight="1">
      <c r="A14" s="69" t="s">
        <v>966</v>
      </c>
      <c r="B14" s="56">
        <f>1327+4</f>
        <v>1331</v>
      </c>
      <c r="C14" s="70"/>
    </row>
    <row r="15" spans="1:3" ht="18" customHeight="1">
      <c r="A15" s="69" t="s">
        <v>967</v>
      </c>
      <c r="B15" s="56">
        <v>1109</v>
      </c>
      <c r="C15" s="70"/>
    </row>
    <row r="16" spans="1:3" ht="18" customHeight="1">
      <c r="A16" s="69" t="s">
        <v>968</v>
      </c>
      <c r="B16" s="56">
        <v>231</v>
      </c>
      <c r="C16" s="70"/>
    </row>
    <row r="17" spans="1:3" ht="18" customHeight="1">
      <c r="A17" s="69" t="s">
        <v>969</v>
      </c>
      <c r="B17" s="56">
        <v>234</v>
      </c>
      <c r="C17" s="70"/>
    </row>
    <row r="18" spans="1:3" ht="18" customHeight="1">
      <c r="A18" s="69" t="s">
        <v>970</v>
      </c>
      <c r="B18" s="56">
        <v>136</v>
      </c>
      <c r="C18" s="70"/>
    </row>
    <row r="19" spans="1:3" ht="18" customHeight="1">
      <c r="A19" s="69" t="s">
        <v>971</v>
      </c>
      <c r="B19" s="56">
        <v>92</v>
      </c>
      <c r="C19" s="70"/>
    </row>
    <row r="20" spans="1:3" ht="18" customHeight="1">
      <c r="A20" s="69" t="s">
        <v>972</v>
      </c>
      <c r="B20" s="56">
        <v>355</v>
      </c>
      <c r="C20" s="51"/>
    </row>
    <row r="21" spans="1:3" ht="18" customHeight="1">
      <c r="A21" s="69" t="s">
        <v>973</v>
      </c>
      <c r="B21" s="56">
        <v>502</v>
      </c>
      <c r="C21" s="70"/>
    </row>
    <row r="22" spans="1:3" ht="18" customHeight="1">
      <c r="A22" s="69" t="s">
        <v>974</v>
      </c>
      <c r="B22" s="56">
        <v>2212</v>
      </c>
      <c r="C22" s="70"/>
    </row>
    <row r="23" spans="1:3" ht="18" customHeight="1">
      <c r="A23" s="69" t="s">
        <v>975</v>
      </c>
      <c r="B23" s="56">
        <v>173</v>
      </c>
      <c r="C23" s="70"/>
    </row>
    <row r="24" spans="1:3" ht="18" customHeight="1">
      <c r="A24" s="69" t="s">
        <v>976</v>
      </c>
      <c r="B24" s="56">
        <v>196</v>
      </c>
      <c r="C24" s="70"/>
    </row>
    <row r="25" spans="1:3" ht="18" customHeight="1">
      <c r="A25" s="69" t="s">
        <v>977</v>
      </c>
      <c r="B25" s="56">
        <v>163</v>
      </c>
      <c r="C25" s="70"/>
    </row>
    <row r="26" spans="1:3" ht="18" customHeight="1">
      <c r="A26" s="69" t="s">
        <v>978</v>
      </c>
      <c r="B26" s="56">
        <v>245</v>
      </c>
      <c r="C26" s="70"/>
    </row>
    <row r="27" spans="1:3" ht="18" customHeight="1">
      <c r="A27" s="69" t="s">
        <v>979</v>
      </c>
      <c r="B27" s="56">
        <v>403</v>
      </c>
      <c r="C27" s="70"/>
    </row>
    <row r="28" spans="1:3" ht="18" customHeight="1">
      <c r="A28" s="69" t="s">
        <v>980</v>
      </c>
      <c r="B28" s="56">
        <v>309</v>
      </c>
      <c r="C28" s="70"/>
    </row>
    <row r="29" spans="1:3" ht="18" customHeight="1">
      <c r="A29" s="69" t="s">
        <v>981</v>
      </c>
      <c r="B29" s="56">
        <v>1510</v>
      </c>
      <c r="C29" s="70"/>
    </row>
    <row r="30" spans="1:3" ht="18" customHeight="1">
      <c r="A30" s="69" t="s">
        <v>982</v>
      </c>
      <c r="B30" s="56">
        <v>1365</v>
      </c>
      <c r="C30" s="70"/>
    </row>
    <row r="31" spans="1:3" ht="18" customHeight="1">
      <c r="A31" s="69" t="s">
        <v>983</v>
      </c>
      <c r="B31" s="56">
        <v>147</v>
      </c>
      <c r="C31" s="70"/>
    </row>
    <row r="32" spans="1:3" ht="18" customHeight="1">
      <c r="A32" s="69" t="s">
        <v>984</v>
      </c>
      <c r="B32" s="56">
        <v>370</v>
      </c>
      <c r="C32" s="56"/>
    </row>
    <row r="33" spans="1:3" ht="18" customHeight="1">
      <c r="A33" s="69" t="s">
        <v>985</v>
      </c>
      <c r="B33" s="56">
        <v>3801</v>
      </c>
      <c r="C33" s="70"/>
    </row>
    <row r="34" spans="1:3" ht="18" customHeight="1">
      <c r="A34" s="69" t="s">
        <v>986</v>
      </c>
      <c r="B34" s="56">
        <v>734</v>
      </c>
      <c r="C34" s="70"/>
    </row>
    <row r="35" spans="1:3" ht="18" customHeight="1">
      <c r="A35" s="69" t="s">
        <v>987</v>
      </c>
      <c r="B35" s="56">
        <v>838</v>
      </c>
      <c r="C35" s="70"/>
    </row>
    <row r="36" spans="1:3" ht="18" customHeight="1">
      <c r="A36" s="69" t="s">
        <v>988</v>
      </c>
      <c r="B36" s="56">
        <v>401</v>
      </c>
      <c r="C36" s="70"/>
    </row>
    <row r="37" spans="1:3" ht="18" customHeight="1">
      <c r="A37" s="71" t="s">
        <v>989</v>
      </c>
      <c r="B37" s="58">
        <v>2686</v>
      </c>
      <c r="C37" s="72"/>
    </row>
    <row r="38" spans="1:3" ht="18.75" customHeight="1">
      <c r="A38" s="67" t="s">
        <v>990</v>
      </c>
      <c r="B38" s="68">
        <v>1202</v>
      </c>
      <c r="C38" s="73"/>
    </row>
    <row r="39" spans="1:3" ht="18.75" customHeight="1">
      <c r="A39" s="69" t="s">
        <v>991</v>
      </c>
      <c r="B39" s="56">
        <v>2239</v>
      </c>
      <c r="C39" s="70"/>
    </row>
    <row r="40" spans="1:3" ht="18.75" customHeight="1">
      <c r="A40" s="69" t="s">
        <v>992</v>
      </c>
      <c r="B40" s="56">
        <v>213</v>
      </c>
      <c r="C40" s="70"/>
    </row>
    <row r="41" spans="1:3" ht="18.75" customHeight="1">
      <c r="A41" s="69" t="s">
        <v>993</v>
      </c>
      <c r="B41" s="56">
        <v>270</v>
      </c>
      <c r="C41" s="70"/>
    </row>
    <row r="42" spans="1:3" ht="18.75" customHeight="1">
      <c r="A42" s="69" t="s">
        <v>994</v>
      </c>
      <c r="B42" s="56">
        <v>55397</v>
      </c>
      <c r="C42" s="51" t="s">
        <v>995</v>
      </c>
    </row>
    <row r="43" spans="1:3" ht="18.75" customHeight="1">
      <c r="A43" s="69" t="s">
        <v>996</v>
      </c>
      <c r="B43" s="56">
        <v>3772</v>
      </c>
      <c r="C43" s="51"/>
    </row>
    <row r="44" spans="1:3" ht="18.75" customHeight="1">
      <c r="A44" s="69" t="s">
        <v>997</v>
      </c>
      <c r="B44" s="56">
        <v>7967</v>
      </c>
      <c r="C44" s="70"/>
    </row>
    <row r="45" spans="1:3" ht="18.75" customHeight="1">
      <c r="A45" s="69" t="s">
        <v>998</v>
      </c>
      <c r="B45" s="56">
        <v>9963</v>
      </c>
      <c r="C45" s="56" t="s">
        <v>999</v>
      </c>
    </row>
    <row r="46" spans="1:3" ht="18.75" customHeight="1">
      <c r="A46" s="69" t="s">
        <v>1000</v>
      </c>
      <c r="B46" s="56">
        <v>2698</v>
      </c>
      <c r="C46" s="56"/>
    </row>
    <row r="47" spans="1:3" ht="18.75" customHeight="1">
      <c r="A47" s="69" t="s">
        <v>1001</v>
      </c>
      <c r="B47" s="56">
        <v>1425</v>
      </c>
      <c r="C47" s="70"/>
    </row>
    <row r="48" spans="1:3" ht="18.75" customHeight="1">
      <c r="A48" s="69" t="s">
        <v>1002</v>
      </c>
      <c r="B48" s="56">
        <v>2344</v>
      </c>
      <c r="C48" s="70"/>
    </row>
    <row r="49" spans="1:3" ht="18.75" customHeight="1">
      <c r="A49" s="69" t="s">
        <v>1003</v>
      </c>
      <c r="B49" s="56">
        <v>43418</v>
      </c>
      <c r="C49" s="56" t="s">
        <v>1004</v>
      </c>
    </row>
    <row r="50" spans="1:3" ht="18.75" customHeight="1">
      <c r="A50" s="69" t="s">
        <v>1005</v>
      </c>
      <c r="B50" s="56">
        <v>255</v>
      </c>
      <c r="C50" s="70"/>
    </row>
    <row r="51" spans="1:3" ht="18.75" customHeight="1">
      <c r="A51" s="69" t="s">
        <v>1006</v>
      </c>
      <c r="B51" s="56">
        <v>3735</v>
      </c>
      <c r="C51" s="56"/>
    </row>
    <row r="52" spans="1:3" ht="18.75" customHeight="1">
      <c r="A52" s="69" t="s">
        <v>1007</v>
      </c>
      <c r="B52" s="56">
        <v>6700</v>
      </c>
      <c r="C52" s="70"/>
    </row>
    <row r="53" spans="1:3" ht="18.75" customHeight="1">
      <c r="A53" s="69" t="s">
        <v>1008</v>
      </c>
      <c r="B53" s="56">
        <v>377</v>
      </c>
      <c r="C53" s="70"/>
    </row>
    <row r="54" spans="1:3" ht="18.75" customHeight="1">
      <c r="A54" s="69" t="s">
        <v>1009</v>
      </c>
      <c r="B54" s="56">
        <v>6081</v>
      </c>
      <c r="C54" s="70"/>
    </row>
    <row r="55" spans="1:3" ht="18.75" customHeight="1">
      <c r="A55" s="69" t="s">
        <v>1010</v>
      </c>
      <c r="B55" s="56">
        <v>1496</v>
      </c>
      <c r="C55" s="70"/>
    </row>
    <row r="56" spans="1:3" ht="18.75" customHeight="1">
      <c r="A56" s="69" t="s">
        <v>1011</v>
      </c>
      <c r="B56" s="56">
        <v>163</v>
      </c>
      <c r="C56" s="70"/>
    </row>
    <row r="57" spans="1:3" ht="18.75" customHeight="1">
      <c r="A57" s="69" t="s">
        <v>1012</v>
      </c>
      <c r="B57" s="56">
        <f>640+9</f>
        <v>649</v>
      </c>
      <c r="C57" s="70"/>
    </row>
    <row r="58" spans="1:3" ht="18.75" customHeight="1">
      <c r="A58" s="69" t="s">
        <v>1013</v>
      </c>
      <c r="B58" s="56">
        <v>430</v>
      </c>
      <c r="C58" s="70"/>
    </row>
    <row r="59" spans="1:3" ht="18.75" customHeight="1">
      <c r="A59" s="69" t="s">
        <v>1014</v>
      </c>
      <c r="B59" s="56">
        <v>137</v>
      </c>
      <c r="C59" s="70"/>
    </row>
    <row r="60" spans="1:3" ht="18.75" customHeight="1">
      <c r="A60" s="69" t="s">
        <v>1015</v>
      </c>
      <c r="B60" s="56">
        <v>232</v>
      </c>
      <c r="C60" s="70"/>
    </row>
    <row r="61" spans="1:3" ht="18.75" customHeight="1">
      <c r="A61" s="69" t="s">
        <v>1016</v>
      </c>
      <c r="B61" s="56">
        <f>268+9</f>
        <v>277</v>
      </c>
      <c r="C61" s="70"/>
    </row>
    <row r="62" spans="1:3" ht="18.75" customHeight="1">
      <c r="A62" s="69" t="s">
        <v>1017</v>
      </c>
      <c r="B62" s="56">
        <v>159</v>
      </c>
      <c r="C62" s="56"/>
    </row>
    <row r="63" spans="1:3" ht="18.75" customHeight="1">
      <c r="A63" s="69" t="s">
        <v>1018</v>
      </c>
      <c r="B63" s="56">
        <v>13741</v>
      </c>
      <c r="C63" s="70"/>
    </row>
    <row r="64" spans="1:3" ht="18.75" customHeight="1">
      <c r="A64" s="69" t="s">
        <v>1019</v>
      </c>
      <c r="B64" s="56">
        <f>460+110</f>
        <v>570</v>
      </c>
      <c r="C64" s="70"/>
    </row>
    <row r="65" spans="1:3" ht="18.75" customHeight="1">
      <c r="A65" s="69" t="s">
        <v>1020</v>
      </c>
      <c r="B65" s="56">
        <v>2530</v>
      </c>
      <c r="C65" s="70"/>
    </row>
    <row r="66" spans="1:3" ht="18.75" customHeight="1">
      <c r="A66" s="69" t="s">
        <v>1021</v>
      </c>
      <c r="B66" s="56">
        <v>4143</v>
      </c>
      <c r="C66" s="70"/>
    </row>
    <row r="67" spans="1:3" ht="18.75" customHeight="1">
      <c r="A67" s="69" t="s">
        <v>1022</v>
      </c>
      <c r="B67" s="56">
        <v>504</v>
      </c>
      <c r="C67" s="70"/>
    </row>
    <row r="68" spans="1:3" ht="18.75" customHeight="1">
      <c r="A68" s="69" t="s">
        <v>1023</v>
      </c>
      <c r="B68" s="56">
        <v>600</v>
      </c>
      <c r="C68" s="70"/>
    </row>
    <row r="69" spans="1:3" ht="18.75" customHeight="1">
      <c r="A69" s="69" t="s">
        <v>1024</v>
      </c>
      <c r="B69" s="56">
        <v>823</v>
      </c>
      <c r="C69" s="70"/>
    </row>
    <row r="70" spans="1:3" ht="18.75" customHeight="1">
      <c r="A70" s="71" t="s">
        <v>1025</v>
      </c>
      <c r="B70" s="58">
        <v>233</v>
      </c>
      <c r="C70" s="72"/>
    </row>
    <row r="71" spans="1:3" ht="19.5" customHeight="1">
      <c r="A71" s="67" t="s">
        <v>1026</v>
      </c>
      <c r="B71" s="68">
        <v>300</v>
      </c>
      <c r="C71" s="68"/>
    </row>
    <row r="72" spans="1:3" ht="19.5" customHeight="1">
      <c r="A72" s="69" t="s">
        <v>1027</v>
      </c>
      <c r="B72" s="56">
        <v>143</v>
      </c>
      <c r="C72" s="70"/>
    </row>
    <row r="73" spans="1:3" ht="19.5" customHeight="1">
      <c r="A73" s="69" t="s">
        <v>1028</v>
      </c>
      <c r="B73" s="56">
        <v>387</v>
      </c>
      <c r="C73" s="56"/>
    </row>
    <row r="74" spans="1:3" ht="19.5" customHeight="1">
      <c r="A74" s="69" t="s">
        <v>1029</v>
      </c>
      <c r="B74" s="56">
        <v>3791</v>
      </c>
      <c r="C74" s="56"/>
    </row>
    <row r="75" spans="1:3" ht="19.5" customHeight="1">
      <c r="A75" s="69" t="s">
        <v>1030</v>
      </c>
      <c r="B75" s="56">
        <v>13169</v>
      </c>
      <c r="C75" s="56" t="s">
        <v>1031</v>
      </c>
    </row>
    <row r="76" spans="1:3" ht="19.5" customHeight="1">
      <c r="A76" s="69" t="s">
        <v>1032</v>
      </c>
      <c r="B76" s="56">
        <v>2836</v>
      </c>
      <c r="C76" s="70"/>
    </row>
    <row r="77" spans="1:3" ht="19.5" customHeight="1">
      <c r="A77" s="69" t="s">
        <v>1033</v>
      </c>
      <c r="B77" s="56">
        <v>2369</v>
      </c>
      <c r="C77" s="56"/>
    </row>
    <row r="78" spans="1:3" ht="19.5" customHeight="1">
      <c r="A78" s="69" t="s">
        <v>1034</v>
      </c>
      <c r="B78" s="56">
        <v>313</v>
      </c>
      <c r="C78" s="70"/>
    </row>
    <row r="79" spans="1:3" ht="19.5" customHeight="1">
      <c r="A79" s="69" t="s">
        <v>1035</v>
      </c>
      <c r="B79" s="56">
        <v>161</v>
      </c>
      <c r="C79" s="70"/>
    </row>
    <row r="80" spans="1:3" ht="19.5" customHeight="1">
      <c r="A80" s="69" t="s">
        <v>1036</v>
      </c>
      <c r="B80" s="56">
        <v>4068</v>
      </c>
      <c r="C80" s="70"/>
    </row>
    <row r="81" spans="1:3" ht="19.5" customHeight="1">
      <c r="A81" s="69" t="s">
        <v>1037</v>
      </c>
      <c r="B81" s="56">
        <v>918</v>
      </c>
      <c r="C81" s="70"/>
    </row>
    <row r="82" spans="1:3" ht="19.5" customHeight="1">
      <c r="A82" s="69" t="s">
        <v>1038</v>
      </c>
      <c r="B82" s="56">
        <v>8902</v>
      </c>
      <c r="C82" s="56" t="s">
        <v>1039</v>
      </c>
    </row>
    <row r="83" spans="1:3" ht="19.5" customHeight="1">
      <c r="A83" s="69" t="s">
        <v>1040</v>
      </c>
      <c r="B83" s="56">
        <v>16370</v>
      </c>
      <c r="C83" s="56" t="s">
        <v>1041</v>
      </c>
    </row>
    <row r="84" spans="1:3" ht="19.5" customHeight="1">
      <c r="A84" s="69" t="s">
        <v>1042</v>
      </c>
      <c r="B84" s="56">
        <v>616</v>
      </c>
      <c r="C84" s="56"/>
    </row>
    <row r="85" spans="1:3" ht="19.5" customHeight="1">
      <c r="A85" s="69" t="s">
        <v>1043</v>
      </c>
      <c r="B85" s="56">
        <v>680</v>
      </c>
      <c r="C85" s="56"/>
    </row>
    <row r="86" spans="1:3" ht="19.5" customHeight="1">
      <c r="A86" s="69" t="s">
        <v>1044</v>
      </c>
      <c r="B86" s="56">
        <v>1871</v>
      </c>
      <c r="C86" s="70"/>
    </row>
    <row r="87" spans="1:3" ht="19.5" customHeight="1">
      <c r="A87" s="69" t="s">
        <v>1045</v>
      </c>
      <c r="B87" s="56">
        <v>189</v>
      </c>
      <c r="C87" s="70"/>
    </row>
    <row r="88" spans="1:3" ht="19.5" customHeight="1">
      <c r="A88" s="69" t="s">
        <v>1046</v>
      </c>
      <c r="B88" s="56">
        <v>34</v>
      </c>
      <c r="C88" s="70"/>
    </row>
    <row r="89" spans="1:3" ht="19.5" customHeight="1">
      <c r="A89" s="69" t="s">
        <v>1047</v>
      </c>
      <c r="B89" s="56">
        <v>4064</v>
      </c>
      <c r="C89" s="70"/>
    </row>
    <row r="90" spans="1:3" ht="19.5" customHeight="1">
      <c r="A90" s="69" t="s">
        <v>1048</v>
      </c>
      <c r="B90" s="56">
        <v>1081</v>
      </c>
      <c r="C90" s="70"/>
    </row>
    <row r="91" spans="1:3" ht="19.5" customHeight="1">
      <c r="A91" s="69" t="s">
        <v>1049</v>
      </c>
      <c r="B91" s="56">
        <v>2850</v>
      </c>
      <c r="C91" s="70"/>
    </row>
    <row r="92" spans="1:3" ht="19.5" customHeight="1">
      <c r="A92" s="69" t="s">
        <v>1050</v>
      </c>
      <c r="B92" s="56">
        <v>3689</v>
      </c>
      <c r="C92" s="70"/>
    </row>
    <row r="93" spans="1:3" ht="19.5" customHeight="1">
      <c r="A93" s="69" t="s">
        <v>1051</v>
      </c>
      <c r="B93" s="56">
        <v>968</v>
      </c>
      <c r="C93" s="70"/>
    </row>
    <row r="94" spans="1:3" ht="19.5" customHeight="1">
      <c r="A94" s="69" t="s">
        <v>1052</v>
      </c>
      <c r="B94" s="56">
        <v>188</v>
      </c>
      <c r="C94" s="70"/>
    </row>
    <row r="95" spans="1:3" ht="19.5" customHeight="1">
      <c r="A95" s="69" t="s">
        <v>1053</v>
      </c>
      <c r="B95" s="56">
        <v>164</v>
      </c>
      <c r="C95" s="70"/>
    </row>
    <row r="96" spans="1:3" ht="19.5" customHeight="1">
      <c r="A96" s="69" t="s">
        <v>1054</v>
      </c>
      <c r="B96" s="56">
        <v>479</v>
      </c>
      <c r="C96" s="70"/>
    </row>
    <row r="97" spans="1:3" ht="19.5" customHeight="1">
      <c r="A97" s="69" t="s">
        <v>1055</v>
      </c>
      <c r="B97" s="56">
        <v>259</v>
      </c>
      <c r="C97" s="70"/>
    </row>
    <row r="98" spans="1:3" ht="19.5" customHeight="1">
      <c r="A98" s="69" t="s">
        <v>1056</v>
      </c>
      <c r="B98" s="56">
        <v>557</v>
      </c>
      <c r="C98" s="70"/>
    </row>
    <row r="99" spans="1:3" ht="19.5" customHeight="1">
      <c r="A99" s="69" t="s">
        <v>1057</v>
      </c>
      <c r="B99" s="56">
        <v>2642</v>
      </c>
      <c r="C99" s="70"/>
    </row>
    <row r="100" spans="1:3" ht="19.5" customHeight="1">
      <c r="A100" s="69" t="s">
        <v>1058</v>
      </c>
      <c r="B100" s="56">
        <v>2427</v>
      </c>
      <c r="C100" s="70"/>
    </row>
    <row r="101" spans="1:3" ht="19.5" customHeight="1">
      <c r="A101" s="71" t="s">
        <v>1059</v>
      </c>
      <c r="B101" s="58">
        <v>358</v>
      </c>
      <c r="C101" s="72"/>
    </row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</sheetData>
  <sheetProtection/>
  <mergeCells count="1">
    <mergeCell ref="A2:C2"/>
  </mergeCells>
  <printOptions horizontalCentered="1"/>
  <pageMargins left="0.75" right="0.75" top="0.75" bottom="0.9" header="0.5" footer="0.23"/>
  <pageSetup horizontalDpi="600" verticalDpi="600" orientation="portrait" paperSize="9"/>
  <rowBreaks count="2" manualBreakCount="2">
    <brk id="37" max="255" man="1"/>
    <brk id="70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76"/>
  <sheetViews>
    <sheetView tabSelected="1" view="pageBreakPreview" zoomScaleSheetLayoutView="100" workbookViewId="0" topLeftCell="A1">
      <selection activeCell="E17" sqref="E17"/>
    </sheetView>
  </sheetViews>
  <sheetFormatPr defaultColWidth="9.00390625" defaultRowHeight="14.25"/>
  <cols>
    <col min="1" max="1" width="49.875" style="25" customWidth="1"/>
    <col min="2" max="2" width="27.25390625" style="26" customWidth="1"/>
    <col min="3" max="3" width="14.25390625" style="25" hidden="1" customWidth="1"/>
    <col min="4" max="4" width="9.00390625" style="25" customWidth="1"/>
    <col min="5" max="5" width="9.00390625" style="27" customWidth="1"/>
    <col min="6" max="6" width="13.625" style="25" customWidth="1"/>
    <col min="7" max="16384" width="9.00390625" style="25" customWidth="1"/>
  </cols>
  <sheetData>
    <row r="1" spans="1:3" ht="18" customHeight="1">
      <c r="A1" s="2" t="s">
        <v>373</v>
      </c>
      <c r="C1" s="28" t="s">
        <v>1060</v>
      </c>
    </row>
    <row r="2" spans="1:5" s="24" customFormat="1" ht="21">
      <c r="A2" s="4" t="s">
        <v>1061</v>
      </c>
      <c r="B2" s="4"/>
      <c r="C2" s="4"/>
      <c r="E2" s="29"/>
    </row>
    <row r="3" spans="2:3" ht="20.25" customHeight="1">
      <c r="B3" s="5" t="s">
        <v>3</v>
      </c>
      <c r="C3" s="28" t="s">
        <v>3</v>
      </c>
    </row>
    <row r="4" spans="1:3" s="25" customFormat="1" ht="21.75" customHeight="1">
      <c r="A4" s="30" t="s">
        <v>1062</v>
      </c>
      <c r="B4" s="6" t="s">
        <v>949</v>
      </c>
      <c r="C4" s="31" t="s">
        <v>1063</v>
      </c>
    </row>
    <row r="5" spans="1:3" s="25" customFormat="1" ht="16.5" customHeight="1">
      <c r="A5" s="32" t="s">
        <v>1064</v>
      </c>
      <c r="B5" s="33">
        <v>41429</v>
      </c>
      <c r="C5" s="34"/>
    </row>
    <row r="6" spans="1:3" s="25" customFormat="1" ht="16.5" customHeight="1">
      <c r="A6" s="35" t="s">
        <v>396</v>
      </c>
      <c r="B6" s="36">
        <v>2266</v>
      </c>
      <c r="C6" s="34"/>
    </row>
    <row r="7" spans="1:3" s="25" customFormat="1" ht="16.5" customHeight="1">
      <c r="A7" s="35" t="s">
        <v>397</v>
      </c>
      <c r="B7" s="36">
        <v>1172</v>
      </c>
      <c r="C7" s="34"/>
    </row>
    <row r="8" spans="1:3" s="25" customFormat="1" ht="16.5" customHeight="1">
      <c r="A8" s="35" t="s">
        <v>398</v>
      </c>
      <c r="B8" s="36">
        <v>372</v>
      </c>
      <c r="C8" s="34"/>
    </row>
    <row r="9" spans="1:3" s="25" customFormat="1" ht="16.5" customHeight="1">
      <c r="A9" s="37" t="s">
        <v>399</v>
      </c>
      <c r="B9" s="36">
        <v>130</v>
      </c>
      <c r="C9" s="34"/>
    </row>
    <row r="10" spans="1:3" s="25" customFormat="1" ht="16.5" customHeight="1">
      <c r="A10" s="38" t="s">
        <v>1065</v>
      </c>
      <c r="B10" s="36">
        <v>150</v>
      </c>
      <c r="C10" s="34"/>
    </row>
    <row r="11" spans="1:3" s="25" customFormat="1" ht="16.5" customHeight="1">
      <c r="A11" s="38" t="s">
        <v>410</v>
      </c>
      <c r="B11" s="36">
        <v>432</v>
      </c>
      <c r="C11" s="34"/>
    </row>
    <row r="12" spans="1:3" s="25" customFormat="1" ht="16.5" customHeight="1">
      <c r="A12" s="35" t="s">
        <v>402</v>
      </c>
      <c r="B12" s="36">
        <v>10</v>
      </c>
      <c r="C12" s="34"/>
    </row>
    <row r="13" spans="1:3" s="25" customFormat="1" ht="16.5" customHeight="1">
      <c r="A13" s="35" t="s">
        <v>403</v>
      </c>
      <c r="B13" s="36">
        <v>2506</v>
      </c>
      <c r="C13" s="34"/>
    </row>
    <row r="14" spans="1:3" s="25" customFormat="1" ht="16.5" customHeight="1">
      <c r="A14" s="35" t="s">
        <v>397</v>
      </c>
      <c r="B14" s="36">
        <v>1299</v>
      </c>
      <c r="C14" s="34"/>
    </row>
    <row r="15" spans="1:3" s="25" customFormat="1" ht="16.5" customHeight="1">
      <c r="A15" s="37" t="s">
        <v>398</v>
      </c>
      <c r="B15" s="36">
        <v>970</v>
      </c>
      <c r="C15" s="34"/>
    </row>
    <row r="16" spans="1:3" s="25" customFormat="1" ht="16.5" customHeight="1">
      <c r="A16" s="37" t="s">
        <v>404</v>
      </c>
      <c r="B16" s="36">
        <v>128</v>
      </c>
      <c r="C16" s="34"/>
    </row>
    <row r="17" spans="1:3" s="25" customFormat="1" ht="16.5" customHeight="1">
      <c r="A17" s="37" t="s">
        <v>410</v>
      </c>
      <c r="B17" s="36">
        <v>109</v>
      </c>
      <c r="C17" s="34"/>
    </row>
    <row r="18" spans="1:3" s="25" customFormat="1" ht="16.5" customHeight="1">
      <c r="A18" s="35" t="s">
        <v>406</v>
      </c>
      <c r="B18" s="36">
        <v>6127</v>
      </c>
      <c r="C18" s="34"/>
    </row>
    <row r="19" spans="1:3" s="25" customFormat="1" ht="16.5" customHeight="1">
      <c r="A19" s="35" t="s">
        <v>397</v>
      </c>
      <c r="B19" s="36">
        <v>2183</v>
      </c>
      <c r="C19" s="34"/>
    </row>
    <row r="20" spans="1:3" s="25" customFormat="1" ht="16.5" customHeight="1">
      <c r="A20" s="35" t="s">
        <v>398</v>
      </c>
      <c r="B20" s="36">
        <v>1804</v>
      </c>
      <c r="C20" s="34"/>
    </row>
    <row r="21" spans="1:3" s="25" customFormat="1" ht="16.5" customHeight="1">
      <c r="A21" s="35" t="s">
        <v>407</v>
      </c>
      <c r="B21" s="36">
        <v>210</v>
      </c>
      <c r="C21" s="34"/>
    </row>
    <row r="22" spans="1:3" s="25" customFormat="1" ht="16.5" customHeight="1">
      <c r="A22" s="35" t="s">
        <v>408</v>
      </c>
      <c r="B22" s="36">
        <v>192</v>
      </c>
      <c r="C22" s="34"/>
    </row>
    <row r="23" spans="1:3" s="25" customFormat="1" ht="16.5" customHeight="1">
      <c r="A23" s="35" t="s">
        <v>409</v>
      </c>
      <c r="B23" s="36">
        <v>184</v>
      </c>
      <c r="C23" s="34"/>
    </row>
    <row r="24" spans="1:3" s="25" customFormat="1" ht="16.5" customHeight="1">
      <c r="A24" s="37" t="s">
        <v>410</v>
      </c>
      <c r="B24" s="36">
        <v>1381</v>
      </c>
      <c r="C24" s="34"/>
    </row>
    <row r="25" spans="1:3" s="25" customFormat="1" ht="16.5" customHeight="1">
      <c r="A25" s="37" t="s">
        <v>1066</v>
      </c>
      <c r="B25" s="36">
        <v>173</v>
      </c>
      <c r="C25" s="34"/>
    </row>
    <row r="26" spans="1:3" s="25" customFormat="1" ht="16.5" customHeight="1">
      <c r="A26" s="35" t="s">
        <v>412</v>
      </c>
      <c r="B26" s="36">
        <v>1220</v>
      </c>
      <c r="C26" s="34"/>
    </row>
    <row r="27" spans="1:3" s="25" customFormat="1" ht="16.5" customHeight="1">
      <c r="A27" s="35" t="s">
        <v>397</v>
      </c>
      <c r="B27" s="36">
        <v>575</v>
      </c>
      <c r="C27" s="34"/>
    </row>
    <row r="28" spans="1:3" s="25" customFormat="1" ht="16.5" customHeight="1">
      <c r="A28" s="35" t="s">
        <v>413</v>
      </c>
      <c r="B28" s="36">
        <v>619</v>
      </c>
      <c r="C28" s="34"/>
    </row>
    <row r="29" spans="1:3" s="25" customFormat="1" ht="16.5" customHeight="1">
      <c r="A29" s="37" t="s">
        <v>410</v>
      </c>
      <c r="B29" s="36">
        <v>26</v>
      </c>
      <c r="C29" s="34"/>
    </row>
    <row r="30" spans="1:3" s="25" customFormat="1" ht="16.5" customHeight="1">
      <c r="A30" s="35" t="s">
        <v>415</v>
      </c>
      <c r="B30" s="36">
        <v>1067</v>
      </c>
      <c r="C30" s="34"/>
    </row>
    <row r="31" spans="1:3" s="25" customFormat="1" ht="16.5" customHeight="1">
      <c r="A31" s="37" t="s">
        <v>397</v>
      </c>
      <c r="B31" s="36">
        <v>196</v>
      </c>
      <c r="C31" s="34"/>
    </row>
    <row r="32" spans="1:3" s="25" customFormat="1" ht="16.5" customHeight="1">
      <c r="A32" s="38" t="s">
        <v>416</v>
      </c>
      <c r="B32" s="36">
        <v>242</v>
      </c>
      <c r="C32" s="34"/>
    </row>
    <row r="33" spans="1:3" s="25" customFormat="1" ht="16.5" customHeight="1">
      <c r="A33" s="35" t="s">
        <v>417</v>
      </c>
      <c r="B33" s="36">
        <v>90</v>
      </c>
      <c r="C33" s="34"/>
    </row>
    <row r="34" spans="1:3" s="25" customFormat="1" ht="16.5" customHeight="1">
      <c r="A34" s="35" t="s">
        <v>418</v>
      </c>
      <c r="B34" s="36">
        <v>200</v>
      </c>
      <c r="C34" s="34"/>
    </row>
    <row r="35" spans="1:3" s="25" customFormat="1" ht="16.5" customHeight="1">
      <c r="A35" s="37" t="s">
        <v>419</v>
      </c>
      <c r="B35" s="36">
        <v>55</v>
      </c>
      <c r="C35" s="34"/>
    </row>
    <row r="36" spans="1:3" s="25" customFormat="1" ht="16.5" customHeight="1">
      <c r="A36" s="37" t="s">
        <v>410</v>
      </c>
      <c r="B36" s="36">
        <v>284</v>
      </c>
      <c r="C36" s="34"/>
    </row>
    <row r="37" spans="1:3" s="25" customFormat="1" ht="16.5" customHeight="1">
      <c r="A37" s="37" t="s">
        <v>420</v>
      </c>
      <c r="B37" s="36">
        <v>4151</v>
      </c>
      <c r="C37" s="34"/>
    </row>
    <row r="38" spans="1:3" s="25" customFormat="1" ht="16.5" customHeight="1">
      <c r="A38" s="35" t="s">
        <v>397</v>
      </c>
      <c r="B38" s="36">
        <v>726</v>
      </c>
      <c r="C38" s="34"/>
    </row>
    <row r="39" spans="1:3" s="25" customFormat="1" ht="16.5" customHeight="1">
      <c r="A39" s="37" t="s">
        <v>398</v>
      </c>
      <c r="B39" s="36">
        <v>725</v>
      </c>
      <c r="C39" s="34"/>
    </row>
    <row r="40" spans="1:3" s="25" customFormat="1" ht="16.5" customHeight="1">
      <c r="A40" s="39" t="s">
        <v>1067</v>
      </c>
      <c r="B40" s="36">
        <v>60</v>
      </c>
      <c r="C40" s="34"/>
    </row>
    <row r="41" spans="1:3" s="25" customFormat="1" ht="16.5" customHeight="1">
      <c r="A41" s="40" t="s">
        <v>421</v>
      </c>
      <c r="B41" s="41">
        <v>34</v>
      </c>
      <c r="C41" s="34"/>
    </row>
    <row r="42" spans="1:3" s="25" customFormat="1" ht="16.5" customHeight="1">
      <c r="A42" s="42" t="s">
        <v>422</v>
      </c>
      <c r="B42" s="33">
        <v>390</v>
      </c>
      <c r="C42" s="34"/>
    </row>
    <row r="43" spans="1:3" s="25" customFormat="1" ht="16.5" customHeight="1">
      <c r="A43" s="37" t="s">
        <v>423</v>
      </c>
      <c r="B43" s="36">
        <v>500</v>
      </c>
      <c r="C43" s="34"/>
    </row>
    <row r="44" spans="1:3" s="25" customFormat="1" ht="16.5" customHeight="1">
      <c r="A44" s="35" t="s">
        <v>410</v>
      </c>
      <c r="B44" s="36">
        <v>1300</v>
      </c>
      <c r="C44" s="34"/>
    </row>
    <row r="45" spans="1:3" s="25" customFormat="1" ht="16.5" customHeight="1">
      <c r="A45" s="35" t="s">
        <v>424</v>
      </c>
      <c r="B45" s="36">
        <v>416</v>
      </c>
      <c r="C45" s="34"/>
    </row>
    <row r="46" spans="1:3" s="25" customFormat="1" ht="16.5" customHeight="1">
      <c r="A46" s="35" t="s">
        <v>425</v>
      </c>
      <c r="B46" s="36">
        <v>2392</v>
      </c>
      <c r="C46" s="34"/>
    </row>
    <row r="47" spans="1:3" s="25" customFormat="1" ht="16.5" customHeight="1">
      <c r="A47" s="37" t="s">
        <v>397</v>
      </c>
      <c r="B47" s="36">
        <v>1438</v>
      </c>
      <c r="C47" s="34"/>
    </row>
    <row r="48" spans="1:3" s="25" customFormat="1" ht="16.5" customHeight="1">
      <c r="A48" s="38" t="s">
        <v>398</v>
      </c>
      <c r="B48" s="36">
        <v>572</v>
      </c>
      <c r="C48" s="34"/>
    </row>
    <row r="49" spans="1:3" s="25" customFormat="1" ht="16.5" customHeight="1">
      <c r="A49" s="35" t="s">
        <v>426</v>
      </c>
      <c r="B49" s="36">
        <v>190</v>
      </c>
      <c r="C49" s="34"/>
    </row>
    <row r="50" spans="1:3" s="25" customFormat="1" ht="16.5" customHeight="1">
      <c r="A50" s="35" t="s">
        <v>428</v>
      </c>
      <c r="B50" s="36">
        <v>8</v>
      </c>
      <c r="C50" s="34"/>
    </row>
    <row r="51" spans="1:3" s="25" customFormat="1" ht="16.5" customHeight="1">
      <c r="A51" s="37" t="s">
        <v>422</v>
      </c>
      <c r="B51" s="36">
        <v>50</v>
      </c>
      <c r="C51" s="34"/>
    </row>
    <row r="52" spans="1:3" s="25" customFormat="1" ht="16.5" customHeight="1">
      <c r="A52" s="37" t="s">
        <v>410</v>
      </c>
      <c r="B52" s="36">
        <v>134</v>
      </c>
      <c r="C52" s="34"/>
    </row>
    <row r="53" spans="1:3" s="25" customFormat="1" ht="16.5" customHeight="1">
      <c r="A53" s="35" t="s">
        <v>430</v>
      </c>
      <c r="B53" s="36">
        <v>667</v>
      </c>
      <c r="C53" s="34"/>
    </row>
    <row r="54" spans="1:3" s="25" customFormat="1" ht="16.5" customHeight="1">
      <c r="A54" s="37" t="s">
        <v>397</v>
      </c>
      <c r="B54" s="36">
        <v>629</v>
      </c>
      <c r="C54" s="34"/>
    </row>
    <row r="55" spans="1:3" s="25" customFormat="1" ht="16.5" customHeight="1">
      <c r="A55" s="35" t="s">
        <v>410</v>
      </c>
      <c r="B55" s="36">
        <v>38</v>
      </c>
      <c r="C55" s="34"/>
    </row>
    <row r="56" spans="1:3" s="25" customFormat="1" ht="16.5" customHeight="1">
      <c r="A56" s="35" t="s">
        <v>433</v>
      </c>
      <c r="B56" s="36">
        <v>243</v>
      </c>
      <c r="C56" s="34"/>
    </row>
    <row r="57" spans="1:3" s="25" customFormat="1" ht="16.5" customHeight="1">
      <c r="A57" s="37" t="s">
        <v>1068</v>
      </c>
      <c r="B57" s="36">
        <v>243</v>
      </c>
      <c r="C57" s="34"/>
    </row>
    <row r="58" spans="1:3" s="25" customFormat="1" ht="16.5" customHeight="1">
      <c r="A58" s="37" t="s">
        <v>436</v>
      </c>
      <c r="B58" s="36">
        <v>4893</v>
      </c>
      <c r="C58" s="34"/>
    </row>
    <row r="59" spans="1:3" s="25" customFormat="1" ht="16.5" customHeight="1">
      <c r="A59" s="37" t="s">
        <v>397</v>
      </c>
      <c r="B59" s="36">
        <v>1663</v>
      </c>
      <c r="C59" s="34"/>
    </row>
    <row r="60" spans="1:3" s="25" customFormat="1" ht="16.5" customHeight="1">
      <c r="A60" s="38" t="s">
        <v>398</v>
      </c>
      <c r="B60" s="36">
        <v>1766</v>
      </c>
      <c r="C60" s="34"/>
    </row>
    <row r="61" spans="1:3" s="25" customFormat="1" ht="16.5" customHeight="1">
      <c r="A61" s="35" t="s">
        <v>437</v>
      </c>
      <c r="B61" s="36">
        <v>500</v>
      </c>
      <c r="C61" s="34"/>
    </row>
    <row r="62" spans="1:3" s="25" customFormat="1" ht="16.5" customHeight="1">
      <c r="A62" s="35" t="s">
        <v>410</v>
      </c>
      <c r="B62" s="36">
        <v>104</v>
      </c>
      <c r="C62" s="34"/>
    </row>
    <row r="63" spans="1:3" s="25" customFormat="1" ht="16.5" customHeight="1">
      <c r="A63" s="35" t="s">
        <v>439</v>
      </c>
      <c r="B63" s="36">
        <v>860</v>
      </c>
      <c r="C63" s="34"/>
    </row>
    <row r="64" spans="1:3" s="25" customFormat="1" ht="16.5" customHeight="1">
      <c r="A64" s="35" t="s">
        <v>440</v>
      </c>
      <c r="B64" s="36">
        <v>1512</v>
      </c>
      <c r="C64" s="34"/>
    </row>
    <row r="65" spans="1:3" s="25" customFormat="1" ht="16.5" customHeight="1">
      <c r="A65" s="35" t="s">
        <v>397</v>
      </c>
      <c r="B65" s="36">
        <v>651</v>
      </c>
      <c r="C65" s="34"/>
    </row>
    <row r="66" spans="1:3" s="25" customFormat="1" ht="16.5" customHeight="1">
      <c r="A66" s="37" t="s">
        <v>398</v>
      </c>
      <c r="B66" s="36">
        <v>108</v>
      </c>
      <c r="C66" s="34"/>
    </row>
    <row r="67" spans="1:3" s="25" customFormat="1" ht="16.5" customHeight="1">
      <c r="A67" s="37" t="s">
        <v>441</v>
      </c>
      <c r="B67" s="36">
        <v>383</v>
      </c>
      <c r="C67" s="34"/>
    </row>
    <row r="68" spans="1:3" s="25" customFormat="1" ht="16.5" customHeight="1">
      <c r="A68" s="37" t="s">
        <v>410</v>
      </c>
      <c r="B68" s="36">
        <v>370</v>
      </c>
      <c r="C68" s="34"/>
    </row>
    <row r="69" spans="1:3" s="25" customFormat="1" ht="16.5" customHeight="1">
      <c r="A69" s="35" t="s">
        <v>442</v>
      </c>
      <c r="B69" s="36">
        <v>212</v>
      </c>
      <c r="C69" s="34"/>
    </row>
    <row r="70" spans="1:3" s="25" customFormat="1" ht="16.5" customHeight="1">
      <c r="A70" s="35" t="s">
        <v>397</v>
      </c>
      <c r="B70" s="36">
        <v>185</v>
      </c>
      <c r="C70" s="34"/>
    </row>
    <row r="71" spans="1:3" s="25" customFormat="1" ht="16.5" customHeight="1">
      <c r="A71" s="35" t="s">
        <v>443</v>
      </c>
      <c r="B71" s="36">
        <v>10</v>
      </c>
      <c r="C71" s="34"/>
    </row>
    <row r="72" spans="1:3" s="25" customFormat="1" ht="16.5" customHeight="1">
      <c r="A72" s="37" t="s">
        <v>444</v>
      </c>
      <c r="B72" s="36">
        <v>6</v>
      </c>
      <c r="C72" s="34"/>
    </row>
    <row r="73" spans="1:3" s="25" customFormat="1" ht="16.5" customHeight="1">
      <c r="A73" s="35" t="s">
        <v>445</v>
      </c>
      <c r="B73" s="36">
        <v>4</v>
      </c>
      <c r="C73" s="34"/>
    </row>
    <row r="74" spans="1:3" s="25" customFormat="1" ht="16.5" customHeight="1">
      <c r="A74" s="35" t="s">
        <v>446</v>
      </c>
      <c r="B74" s="36">
        <v>7</v>
      </c>
      <c r="C74" s="34"/>
    </row>
    <row r="75" spans="1:3" s="25" customFormat="1" ht="16.5" customHeight="1">
      <c r="A75" s="35" t="s">
        <v>447</v>
      </c>
      <c r="B75" s="36">
        <v>1326</v>
      </c>
      <c r="C75" s="34"/>
    </row>
    <row r="76" spans="1:3" s="25" customFormat="1" ht="16.5" customHeight="1">
      <c r="A76" s="35" t="s">
        <v>397</v>
      </c>
      <c r="B76" s="36">
        <v>936</v>
      </c>
      <c r="C76" s="34"/>
    </row>
    <row r="77" spans="1:3" s="25" customFormat="1" ht="16.5" customHeight="1">
      <c r="A77" s="35" t="s">
        <v>398</v>
      </c>
      <c r="B77" s="36">
        <v>162</v>
      </c>
      <c r="C77" s="34"/>
    </row>
    <row r="78" spans="1:3" s="25" customFormat="1" ht="16.5" customHeight="1">
      <c r="A78" s="43" t="s">
        <v>1069</v>
      </c>
      <c r="B78" s="41">
        <v>43</v>
      </c>
      <c r="C78" s="34"/>
    </row>
    <row r="79" spans="1:3" s="25" customFormat="1" ht="16.5" customHeight="1">
      <c r="A79" s="44" t="s">
        <v>448</v>
      </c>
      <c r="B79" s="33">
        <v>51</v>
      </c>
      <c r="C79" s="34"/>
    </row>
    <row r="80" spans="1:3" s="25" customFormat="1" ht="16.5" customHeight="1">
      <c r="A80" s="35" t="s">
        <v>422</v>
      </c>
      <c r="B80" s="36">
        <v>40</v>
      </c>
      <c r="C80" s="34"/>
    </row>
    <row r="81" spans="1:3" s="25" customFormat="1" ht="16.5" customHeight="1">
      <c r="A81" s="35" t="s">
        <v>410</v>
      </c>
      <c r="B81" s="36">
        <v>84</v>
      </c>
      <c r="C81" s="34"/>
    </row>
    <row r="82" spans="1:3" s="25" customFormat="1" ht="16.5" customHeight="1">
      <c r="A82" s="37" t="s">
        <v>449</v>
      </c>
      <c r="B82" s="36">
        <v>10</v>
      </c>
      <c r="C82" s="34"/>
    </row>
    <row r="83" spans="1:3" s="25" customFormat="1" ht="16.5" customHeight="1">
      <c r="A83" s="35" t="s">
        <v>450</v>
      </c>
      <c r="B83" s="36">
        <v>2399</v>
      </c>
      <c r="C83" s="34"/>
    </row>
    <row r="84" spans="1:3" s="25" customFormat="1" ht="16.5" customHeight="1">
      <c r="A84" s="35" t="s">
        <v>397</v>
      </c>
      <c r="B84" s="36">
        <v>477</v>
      </c>
      <c r="C84" s="34"/>
    </row>
    <row r="85" spans="1:3" s="25" customFormat="1" ht="16.5" customHeight="1">
      <c r="A85" s="35" t="s">
        <v>398</v>
      </c>
      <c r="B85" s="36">
        <v>101</v>
      </c>
      <c r="C85" s="34"/>
    </row>
    <row r="86" spans="1:3" s="25" customFormat="1" ht="16.5" customHeight="1">
      <c r="A86" s="37" t="s">
        <v>451</v>
      </c>
      <c r="B86" s="36">
        <v>319</v>
      </c>
      <c r="C86" s="34"/>
    </row>
    <row r="87" spans="1:3" s="25" customFormat="1" ht="16.5" customHeight="1">
      <c r="A87" s="38" t="s">
        <v>1070</v>
      </c>
      <c r="B87" s="36">
        <v>80</v>
      </c>
      <c r="C87" s="34"/>
    </row>
    <row r="88" spans="1:3" s="25" customFormat="1" ht="16.5" customHeight="1">
      <c r="A88" s="37" t="s">
        <v>410</v>
      </c>
      <c r="B88" s="36">
        <v>1412</v>
      </c>
      <c r="C88" s="34"/>
    </row>
    <row r="89" spans="1:3" s="25" customFormat="1" ht="16.5" customHeight="1">
      <c r="A89" s="37" t="s">
        <v>453</v>
      </c>
      <c r="B89" s="36">
        <v>10</v>
      </c>
      <c r="C89" s="34"/>
    </row>
    <row r="90" spans="1:3" s="25" customFormat="1" ht="16.5" customHeight="1">
      <c r="A90" s="35" t="s">
        <v>454</v>
      </c>
      <c r="B90" s="36">
        <v>156</v>
      </c>
      <c r="C90" s="34"/>
    </row>
    <row r="91" spans="1:3" s="25" customFormat="1" ht="16.5" customHeight="1">
      <c r="A91" s="37" t="s">
        <v>397</v>
      </c>
      <c r="B91" s="36">
        <v>105</v>
      </c>
      <c r="C91" s="34"/>
    </row>
    <row r="92" spans="1:3" s="25" customFormat="1" ht="16.5" customHeight="1">
      <c r="A92" s="37" t="s">
        <v>398</v>
      </c>
      <c r="B92" s="36">
        <v>51</v>
      </c>
      <c r="C92" s="34"/>
    </row>
    <row r="93" spans="1:3" s="25" customFormat="1" ht="16.5" customHeight="1">
      <c r="A93" s="37" t="s">
        <v>455</v>
      </c>
      <c r="B93" s="36">
        <v>341</v>
      </c>
      <c r="C93" s="34"/>
    </row>
    <row r="94" spans="1:3" s="25" customFormat="1" ht="16.5" customHeight="1">
      <c r="A94" s="37" t="s">
        <v>397</v>
      </c>
      <c r="B94" s="36">
        <v>181</v>
      </c>
      <c r="C94" s="34"/>
    </row>
    <row r="95" spans="1:3" s="25" customFormat="1" ht="16.5" customHeight="1">
      <c r="A95" s="35" t="s">
        <v>456</v>
      </c>
      <c r="B95" s="36">
        <v>65</v>
      </c>
      <c r="C95" s="34"/>
    </row>
    <row r="96" spans="1:3" s="25" customFormat="1" ht="16.5" customHeight="1">
      <c r="A96" s="37" t="s">
        <v>457</v>
      </c>
      <c r="B96" s="36">
        <v>70</v>
      </c>
      <c r="C96" s="34"/>
    </row>
    <row r="97" spans="1:3" s="25" customFormat="1" ht="16.5" customHeight="1">
      <c r="A97" s="37" t="s">
        <v>410</v>
      </c>
      <c r="B97" s="36">
        <v>25</v>
      </c>
      <c r="C97" s="34"/>
    </row>
    <row r="98" spans="1:3" s="25" customFormat="1" ht="16.5" customHeight="1">
      <c r="A98" s="37" t="s">
        <v>458</v>
      </c>
      <c r="B98" s="36">
        <v>358</v>
      </c>
      <c r="C98" s="34"/>
    </row>
    <row r="99" spans="1:3" s="25" customFormat="1" ht="16.5" customHeight="1">
      <c r="A99" s="35" t="s">
        <v>397</v>
      </c>
      <c r="B99" s="36">
        <v>196</v>
      </c>
      <c r="C99" s="34"/>
    </row>
    <row r="100" spans="1:3" s="25" customFormat="1" ht="16.5" customHeight="1">
      <c r="A100" s="37" t="s">
        <v>398</v>
      </c>
      <c r="B100" s="36">
        <v>1</v>
      </c>
      <c r="C100" s="34"/>
    </row>
    <row r="101" spans="1:3" s="25" customFormat="1" ht="16.5" customHeight="1">
      <c r="A101" s="37" t="s">
        <v>459</v>
      </c>
      <c r="B101" s="36">
        <v>161</v>
      </c>
      <c r="C101" s="34"/>
    </row>
    <row r="102" spans="1:3" s="25" customFormat="1" ht="16.5" customHeight="1">
      <c r="A102" s="37" t="s">
        <v>460</v>
      </c>
      <c r="B102" s="36">
        <v>484</v>
      </c>
      <c r="C102" s="34"/>
    </row>
    <row r="103" spans="1:3" s="25" customFormat="1" ht="16.5" customHeight="1">
      <c r="A103" s="35" t="s">
        <v>397</v>
      </c>
      <c r="B103" s="36">
        <v>358</v>
      </c>
      <c r="C103" s="34"/>
    </row>
    <row r="104" spans="1:3" s="25" customFormat="1" ht="16.5" customHeight="1">
      <c r="A104" s="37" t="s">
        <v>398</v>
      </c>
      <c r="B104" s="36">
        <v>101</v>
      </c>
      <c r="C104" s="34"/>
    </row>
    <row r="105" spans="1:3" s="25" customFormat="1" ht="16.5" customHeight="1">
      <c r="A105" s="37" t="s">
        <v>1071</v>
      </c>
      <c r="B105" s="36">
        <v>25</v>
      </c>
      <c r="C105" s="34"/>
    </row>
    <row r="106" spans="1:3" s="25" customFormat="1" ht="16.5" customHeight="1">
      <c r="A106" s="35" t="s">
        <v>461</v>
      </c>
      <c r="B106" s="36">
        <v>1416</v>
      </c>
      <c r="C106" s="34"/>
    </row>
    <row r="107" spans="1:3" s="25" customFormat="1" ht="16.5" customHeight="1">
      <c r="A107" s="35" t="s">
        <v>397</v>
      </c>
      <c r="B107" s="36">
        <v>237</v>
      </c>
      <c r="C107" s="34"/>
    </row>
    <row r="108" spans="1:3" s="25" customFormat="1" ht="16.5" customHeight="1">
      <c r="A108" s="35" t="s">
        <v>398</v>
      </c>
      <c r="B108" s="36">
        <v>180</v>
      </c>
      <c r="C108" s="34"/>
    </row>
    <row r="109" spans="1:3" s="25" customFormat="1" ht="16.5" customHeight="1">
      <c r="A109" s="37" t="s">
        <v>462</v>
      </c>
      <c r="B109" s="36">
        <v>5</v>
      </c>
      <c r="C109" s="34"/>
    </row>
    <row r="110" spans="1:3" s="25" customFormat="1" ht="16.5" customHeight="1">
      <c r="A110" s="35" t="s">
        <v>410</v>
      </c>
      <c r="B110" s="36">
        <v>935</v>
      </c>
      <c r="C110" s="34"/>
    </row>
    <row r="111" spans="1:3" s="25" customFormat="1" ht="16.5" customHeight="1">
      <c r="A111" s="37" t="s">
        <v>463</v>
      </c>
      <c r="B111" s="36">
        <v>59</v>
      </c>
      <c r="C111" s="34"/>
    </row>
    <row r="112" spans="1:3" s="25" customFormat="1" ht="16.5" customHeight="1">
      <c r="A112" s="37" t="s">
        <v>1072</v>
      </c>
      <c r="B112" s="36">
        <v>5046</v>
      </c>
      <c r="C112" s="34"/>
    </row>
    <row r="113" spans="1:3" s="25" customFormat="1" ht="16.5" customHeight="1">
      <c r="A113" s="35" t="s">
        <v>397</v>
      </c>
      <c r="B113" s="36">
        <v>2300</v>
      </c>
      <c r="C113" s="34"/>
    </row>
    <row r="114" spans="1:3" s="25" customFormat="1" ht="16.5" customHeight="1">
      <c r="A114" s="35" t="s">
        <v>398</v>
      </c>
      <c r="B114" s="36">
        <v>1507</v>
      </c>
      <c r="C114" s="34"/>
    </row>
    <row r="115" spans="1:3" s="25" customFormat="1" ht="16.5" customHeight="1">
      <c r="A115" s="43" t="s">
        <v>465</v>
      </c>
      <c r="B115" s="41">
        <v>20</v>
      </c>
      <c r="C115" s="34"/>
    </row>
    <row r="116" spans="1:3" s="25" customFormat="1" ht="15.75" customHeight="1">
      <c r="A116" s="45" t="s">
        <v>410</v>
      </c>
      <c r="B116" s="33">
        <v>703</v>
      </c>
      <c r="C116" s="34"/>
    </row>
    <row r="117" spans="1:3" s="25" customFormat="1" ht="15.75" customHeight="1">
      <c r="A117" s="37" t="s">
        <v>1073</v>
      </c>
      <c r="B117" s="36">
        <v>516</v>
      </c>
      <c r="C117" s="34"/>
    </row>
    <row r="118" spans="1:3" s="25" customFormat="1" ht="15.75" customHeight="1">
      <c r="A118" s="35" t="s">
        <v>467</v>
      </c>
      <c r="B118" s="36">
        <v>883</v>
      </c>
      <c r="C118" s="34"/>
    </row>
    <row r="119" spans="1:3" s="25" customFormat="1" ht="15.75" customHeight="1">
      <c r="A119" s="37" t="s">
        <v>397</v>
      </c>
      <c r="B119" s="36">
        <v>523</v>
      </c>
      <c r="C119" s="34"/>
    </row>
    <row r="120" spans="1:3" s="25" customFormat="1" ht="15.75" customHeight="1">
      <c r="A120" s="38" t="s">
        <v>398</v>
      </c>
      <c r="B120" s="36">
        <v>170</v>
      </c>
      <c r="C120" s="34"/>
    </row>
    <row r="121" spans="1:3" s="25" customFormat="1" ht="15.75" customHeight="1">
      <c r="A121" s="35" t="s">
        <v>410</v>
      </c>
      <c r="B121" s="36">
        <v>48</v>
      </c>
      <c r="C121" s="34"/>
    </row>
    <row r="122" spans="1:3" s="25" customFormat="1" ht="15.75" customHeight="1">
      <c r="A122" s="35" t="s">
        <v>468</v>
      </c>
      <c r="B122" s="36">
        <v>142</v>
      </c>
      <c r="C122" s="34"/>
    </row>
    <row r="123" spans="1:3" s="25" customFormat="1" ht="15.75" customHeight="1">
      <c r="A123" s="37" t="s">
        <v>469</v>
      </c>
      <c r="B123" s="36">
        <v>1234</v>
      </c>
      <c r="C123" s="34"/>
    </row>
    <row r="124" spans="1:3" s="25" customFormat="1" ht="15.75" customHeight="1">
      <c r="A124" s="37" t="s">
        <v>397</v>
      </c>
      <c r="B124" s="36">
        <v>1124</v>
      </c>
      <c r="C124" s="34"/>
    </row>
    <row r="125" spans="1:3" s="25" customFormat="1" ht="15.75" customHeight="1">
      <c r="A125" s="35" t="s">
        <v>410</v>
      </c>
      <c r="B125" s="36">
        <v>110</v>
      </c>
      <c r="C125" s="34"/>
    </row>
    <row r="126" spans="1:3" s="25" customFormat="1" ht="15.75" customHeight="1">
      <c r="A126" s="37" t="s">
        <v>471</v>
      </c>
      <c r="B126" s="36">
        <v>268</v>
      </c>
      <c r="C126" s="34"/>
    </row>
    <row r="127" spans="1:3" s="25" customFormat="1" ht="15.75" customHeight="1">
      <c r="A127" s="38" t="s">
        <v>397</v>
      </c>
      <c r="B127" s="36">
        <v>223</v>
      </c>
      <c r="C127" s="34"/>
    </row>
    <row r="128" spans="1:3" s="25" customFormat="1" ht="15.75" customHeight="1">
      <c r="A128" s="35" t="s">
        <v>398</v>
      </c>
      <c r="B128" s="36">
        <v>35</v>
      </c>
      <c r="C128" s="34"/>
    </row>
    <row r="129" spans="1:3" s="25" customFormat="1" ht="15.75" customHeight="1">
      <c r="A129" s="35" t="s">
        <v>1074</v>
      </c>
      <c r="B129" s="36">
        <v>10</v>
      </c>
      <c r="C129" s="34"/>
    </row>
    <row r="130" spans="1:3" s="25" customFormat="1" ht="15.75" customHeight="1">
      <c r="A130" s="35" t="s">
        <v>472</v>
      </c>
      <c r="B130" s="36">
        <v>262</v>
      </c>
      <c r="C130" s="34"/>
    </row>
    <row r="131" spans="1:3" s="25" customFormat="1" ht="15.75" customHeight="1">
      <c r="A131" s="37" t="s">
        <v>398</v>
      </c>
      <c r="B131" s="36">
        <v>246</v>
      </c>
      <c r="C131" s="34"/>
    </row>
    <row r="132" spans="1:3" s="25" customFormat="1" ht="15.75" customHeight="1">
      <c r="A132" s="37" t="s">
        <v>473</v>
      </c>
      <c r="B132" s="36">
        <v>16</v>
      </c>
      <c r="C132" s="34"/>
    </row>
    <row r="133" spans="1:3" s="25" customFormat="1" ht="15.75" customHeight="1">
      <c r="A133" s="37" t="s">
        <v>1075</v>
      </c>
      <c r="B133" s="36">
        <v>0</v>
      </c>
      <c r="C133" s="34"/>
    </row>
    <row r="134" spans="1:3" s="25" customFormat="1" ht="15.75" customHeight="1">
      <c r="A134" s="35" t="s">
        <v>1076</v>
      </c>
      <c r="B134" s="36">
        <v>1530</v>
      </c>
      <c r="C134" s="34"/>
    </row>
    <row r="135" spans="1:3" s="25" customFormat="1" ht="15.75" customHeight="1">
      <c r="A135" s="35" t="s">
        <v>475</v>
      </c>
      <c r="B135" s="36">
        <v>1530</v>
      </c>
      <c r="C135" s="34"/>
    </row>
    <row r="136" spans="1:3" s="25" customFormat="1" ht="15.75" customHeight="1">
      <c r="A136" s="37" t="s">
        <v>476</v>
      </c>
      <c r="B136" s="36">
        <v>10</v>
      </c>
      <c r="C136" s="34"/>
    </row>
    <row r="137" spans="1:3" s="25" customFormat="1" ht="15.75" customHeight="1">
      <c r="A137" s="35" t="s">
        <v>477</v>
      </c>
      <c r="B137" s="36">
        <v>1520</v>
      </c>
      <c r="C137" s="34"/>
    </row>
    <row r="138" spans="1:3" s="25" customFormat="1" ht="15.75" customHeight="1">
      <c r="A138" s="35" t="s">
        <v>1077</v>
      </c>
      <c r="B138" s="36">
        <v>76809</v>
      </c>
      <c r="C138" s="34"/>
    </row>
    <row r="139" spans="1:3" s="25" customFormat="1" ht="15.75" customHeight="1">
      <c r="A139" s="37" t="s">
        <v>485</v>
      </c>
      <c r="B139" s="36">
        <v>1860</v>
      </c>
      <c r="C139" s="34"/>
    </row>
    <row r="140" spans="1:3" s="25" customFormat="1" ht="15.75" customHeight="1">
      <c r="A140" s="37" t="s">
        <v>486</v>
      </c>
      <c r="B140" s="36">
        <v>154</v>
      </c>
      <c r="C140" s="34"/>
    </row>
    <row r="141" spans="1:3" s="25" customFormat="1" ht="15.75" customHeight="1">
      <c r="A141" s="37" t="s">
        <v>487</v>
      </c>
      <c r="B141" s="36">
        <v>1706</v>
      </c>
      <c r="C141" s="34"/>
    </row>
    <row r="142" spans="1:3" s="25" customFormat="1" ht="15.75" customHeight="1">
      <c r="A142" s="38" t="s">
        <v>488</v>
      </c>
      <c r="B142" s="36">
        <v>53891</v>
      </c>
      <c r="C142" s="34"/>
    </row>
    <row r="143" spans="1:3" s="25" customFormat="1" ht="15.75" customHeight="1">
      <c r="A143" s="35" t="s">
        <v>397</v>
      </c>
      <c r="B143" s="36">
        <v>32850</v>
      </c>
      <c r="C143" s="34"/>
    </row>
    <row r="144" spans="1:3" s="25" customFormat="1" ht="15.75" customHeight="1">
      <c r="A144" s="35" t="s">
        <v>398</v>
      </c>
      <c r="B144" s="36">
        <v>872</v>
      </c>
      <c r="C144" s="34"/>
    </row>
    <row r="145" spans="1:3" s="25" customFormat="1" ht="15.75" customHeight="1">
      <c r="A145" s="35" t="s">
        <v>489</v>
      </c>
      <c r="B145" s="36">
        <v>49</v>
      </c>
      <c r="C145" s="34"/>
    </row>
    <row r="146" spans="1:3" s="25" customFormat="1" ht="15.75" customHeight="1">
      <c r="A146" s="37" t="s">
        <v>490</v>
      </c>
      <c r="B146" s="36">
        <v>30</v>
      </c>
      <c r="C146" s="34"/>
    </row>
    <row r="147" spans="1:3" s="25" customFormat="1" ht="15.75" customHeight="1">
      <c r="A147" s="37" t="s">
        <v>491</v>
      </c>
      <c r="B147" s="36">
        <v>148</v>
      </c>
      <c r="C147" s="34"/>
    </row>
    <row r="148" spans="1:3" s="25" customFormat="1" ht="15.75" customHeight="1">
      <c r="A148" s="37" t="s">
        <v>492</v>
      </c>
      <c r="B148" s="36">
        <v>30</v>
      </c>
      <c r="C148" s="34"/>
    </row>
    <row r="149" spans="1:3" s="25" customFormat="1" ht="15.75" customHeight="1">
      <c r="A149" s="35" t="s">
        <v>493</v>
      </c>
      <c r="B149" s="36">
        <v>60</v>
      </c>
      <c r="C149" s="34"/>
    </row>
    <row r="150" spans="1:3" s="25" customFormat="1" ht="15.75" customHeight="1">
      <c r="A150" s="35" t="s">
        <v>494</v>
      </c>
      <c r="B150" s="36">
        <v>20</v>
      </c>
      <c r="C150" s="34"/>
    </row>
    <row r="151" spans="1:3" s="25" customFormat="1" ht="15.75" customHeight="1">
      <c r="A151" s="35" t="s">
        <v>495</v>
      </c>
      <c r="B151" s="36">
        <v>125</v>
      </c>
      <c r="C151" s="34"/>
    </row>
    <row r="152" spans="1:3" s="25" customFormat="1" ht="15.75" customHeight="1">
      <c r="A152" s="35" t="s">
        <v>496</v>
      </c>
      <c r="B152" s="36">
        <v>12820</v>
      </c>
      <c r="C152" s="34"/>
    </row>
    <row r="153" spans="1:3" s="25" customFormat="1" ht="15.75" customHeight="1">
      <c r="A153" s="46" t="s">
        <v>497</v>
      </c>
      <c r="B153" s="41">
        <v>20</v>
      </c>
      <c r="C153" s="34"/>
    </row>
    <row r="154" spans="1:3" s="25" customFormat="1" ht="16.5" customHeight="1">
      <c r="A154" s="42" t="s">
        <v>498</v>
      </c>
      <c r="B154" s="33">
        <v>65</v>
      </c>
      <c r="C154" s="34"/>
    </row>
    <row r="155" spans="1:3" s="25" customFormat="1" ht="16.5" customHeight="1">
      <c r="A155" s="37" t="s">
        <v>499</v>
      </c>
      <c r="B155" s="36">
        <v>30</v>
      </c>
      <c r="C155" s="34"/>
    </row>
    <row r="156" spans="1:3" s="25" customFormat="1" ht="16.5" customHeight="1">
      <c r="A156" s="35" t="s">
        <v>500</v>
      </c>
      <c r="B156" s="36">
        <v>659</v>
      </c>
      <c r="C156" s="34"/>
    </row>
    <row r="157" spans="1:3" s="25" customFormat="1" ht="16.5" customHeight="1">
      <c r="A157" s="35" t="s">
        <v>501</v>
      </c>
      <c r="B157" s="36">
        <v>189</v>
      </c>
      <c r="C157" s="34"/>
    </row>
    <row r="158" spans="1:3" s="25" customFormat="1" ht="16.5" customHeight="1">
      <c r="A158" s="35" t="s">
        <v>1078</v>
      </c>
      <c r="B158" s="36">
        <v>15</v>
      </c>
      <c r="C158" s="34"/>
    </row>
    <row r="159" spans="1:3" s="25" customFormat="1" ht="16.5" customHeight="1">
      <c r="A159" s="37" t="s">
        <v>422</v>
      </c>
      <c r="B159" s="36">
        <v>2000</v>
      </c>
      <c r="C159" s="34"/>
    </row>
    <row r="160" spans="1:3" s="25" customFormat="1" ht="16.5" customHeight="1">
      <c r="A160" s="38" t="s">
        <v>410</v>
      </c>
      <c r="B160" s="36">
        <v>619</v>
      </c>
      <c r="C160" s="34"/>
    </row>
    <row r="161" spans="1:3" s="25" customFormat="1" ht="16.5" customHeight="1">
      <c r="A161" s="35" t="s">
        <v>502</v>
      </c>
      <c r="B161" s="36">
        <v>3290</v>
      </c>
      <c r="C161" s="34"/>
    </row>
    <row r="162" spans="1:3" s="25" customFormat="1" ht="16.5" customHeight="1">
      <c r="A162" s="35" t="s">
        <v>504</v>
      </c>
      <c r="B162" s="36">
        <v>3575</v>
      </c>
      <c r="C162" s="34"/>
    </row>
    <row r="163" spans="1:3" s="25" customFormat="1" ht="16.5" customHeight="1">
      <c r="A163" s="37" t="s">
        <v>397</v>
      </c>
      <c r="B163" s="36">
        <v>2263</v>
      </c>
      <c r="C163" s="34"/>
    </row>
    <row r="164" spans="1:3" s="25" customFormat="1" ht="16.5" customHeight="1">
      <c r="A164" s="37" t="s">
        <v>398</v>
      </c>
      <c r="B164" s="36">
        <v>510</v>
      </c>
      <c r="C164" s="34"/>
    </row>
    <row r="165" spans="1:3" s="25" customFormat="1" ht="16.5" customHeight="1">
      <c r="A165" s="35" t="s">
        <v>506</v>
      </c>
      <c r="B165" s="36">
        <v>50</v>
      </c>
      <c r="C165" s="34"/>
    </row>
    <row r="166" spans="1:3" s="25" customFormat="1" ht="16.5" customHeight="1">
      <c r="A166" s="35" t="s">
        <v>507</v>
      </c>
      <c r="B166" s="36">
        <v>30</v>
      </c>
      <c r="C166" s="34"/>
    </row>
    <row r="167" spans="1:3" s="25" customFormat="1" ht="16.5" customHeight="1">
      <c r="A167" s="37" t="s">
        <v>508</v>
      </c>
      <c r="B167" s="36">
        <v>30</v>
      </c>
      <c r="C167" s="34"/>
    </row>
    <row r="168" spans="1:3" s="25" customFormat="1" ht="16.5" customHeight="1">
      <c r="A168" s="37" t="s">
        <v>509</v>
      </c>
      <c r="B168" s="36">
        <v>30</v>
      </c>
      <c r="C168" s="34"/>
    </row>
    <row r="169" spans="1:3" s="25" customFormat="1" ht="16.5" customHeight="1">
      <c r="A169" s="38" t="s">
        <v>410</v>
      </c>
      <c r="B169" s="36">
        <v>182</v>
      </c>
      <c r="C169" s="34"/>
    </row>
    <row r="170" spans="1:3" s="25" customFormat="1" ht="16.5" customHeight="1">
      <c r="A170" s="35" t="s">
        <v>1079</v>
      </c>
      <c r="B170" s="36">
        <v>480</v>
      </c>
      <c r="C170" s="34"/>
    </row>
    <row r="171" spans="1:3" s="25" customFormat="1" ht="16.5" customHeight="1">
      <c r="A171" s="35" t="s">
        <v>510</v>
      </c>
      <c r="B171" s="36">
        <v>7924</v>
      </c>
      <c r="C171" s="34"/>
    </row>
    <row r="172" spans="1:3" s="25" customFormat="1" ht="16.5" customHeight="1">
      <c r="A172" s="35" t="s">
        <v>397</v>
      </c>
      <c r="B172" s="36">
        <v>2748</v>
      </c>
      <c r="C172" s="34"/>
    </row>
    <row r="173" spans="1:3" s="25" customFormat="1" ht="16.5" customHeight="1">
      <c r="A173" s="37" t="s">
        <v>398</v>
      </c>
      <c r="B173" s="36">
        <v>492</v>
      </c>
      <c r="C173" s="34"/>
    </row>
    <row r="174" spans="1:3" s="25" customFormat="1" ht="16.5" customHeight="1">
      <c r="A174" s="35" t="s">
        <v>511</v>
      </c>
      <c r="B174" s="36">
        <v>300</v>
      </c>
      <c r="C174" s="34"/>
    </row>
    <row r="175" spans="1:3" s="25" customFormat="1" ht="16.5" customHeight="1">
      <c r="A175" s="37" t="s">
        <v>512</v>
      </c>
      <c r="B175" s="36">
        <v>190</v>
      </c>
      <c r="C175" s="34"/>
    </row>
    <row r="176" spans="1:3" s="25" customFormat="1" ht="16.5" customHeight="1">
      <c r="A176" s="35" t="s">
        <v>513</v>
      </c>
      <c r="B176" s="36">
        <v>3560</v>
      </c>
      <c r="C176" s="34"/>
    </row>
    <row r="177" spans="1:3" s="25" customFormat="1" ht="16.5" customHeight="1">
      <c r="A177" s="35" t="s">
        <v>410</v>
      </c>
      <c r="B177" s="36">
        <v>34</v>
      </c>
      <c r="C177" s="34"/>
    </row>
    <row r="178" spans="1:3" s="25" customFormat="1" ht="16.5" customHeight="1">
      <c r="A178" s="35" t="s">
        <v>514</v>
      </c>
      <c r="B178" s="36">
        <v>600</v>
      </c>
      <c r="C178" s="34"/>
    </row>
    <row r="179" spans="1:3" s="25" customFormat="1" ht="16.5" customHeight="1">
      <c r="A179" s="37" t="s">
        <v>515</v>
      </c>
      <c r="B179" s="36">
        <v>1356</v>
      </c>
      <c r="C179" s="34"/>
    </row>
    <row r="180" spans="1:3" s="25" customFormat="1" ht="16.5" customHeight="1">
      <c r="A180" s="37" t="s">
        <v>397</v>
      </c>
      <c r="B180" s="36">
        <v>602</v>
      </c>
      <c r="C180" s="34"/>
    </row>
    <row r="181" spans="1:3" s="25" customFormat="1" ht="16.5" customHeight="1">
      <c r="A181" s="37" t="s">
        <v>398</v>
      </c>
      <c r="B181" s="36">
        <v>250</v>
      </c>
      <c r="C181" s="34"/>
    </row>
    <row r="182" spans="1:3" s="25" customFormat="1" ht="16.5" customHeight="1">
      <c r="A182" s="35" t="s">
        <v>516</v>
      </c>
      <c r="B182" s="36">
        <v>10</v>
      </c>
      <c r="C182" s="34"/>
    </row>
    <row r="183" spans="1:3" s="25" customFormat="1" ht="16.5" customHeight="1">
      <c r="A183" s="35" t="s">
        <v>517</v>
      </c>
      <c r="B183" s="36">
        <v>40</v>
      </c>
      <c r="C183" s="34"/>
    </row>
    <row r="184" spans="1:3" s="25" customFormat="1" ht="16.5" customHeight="1">
      <c r="A184" s="37" t="s">
        <v>518</v>
      </c>
      <c r="B184" s="36">
        <v>20</v>
      </c>
      <c r="C184" s="34"/>
    </row>
    <row r="185" spans="1:3" s="25" customFormat="1" ht="16.5" customHeight="1">
      <c r="A185" s="37" t="s">
        <v>519</v>
      </c>
      <c r="B185" s="36">
        <v>60</v>
      </c>
      <c r="C185" s="34"/>
    </row>
    <row r="186" spans="1:3" s="25" customFormat="1" ht="16.5" customHeight="1">
      <c r="A186" s="35" t="s">
        <v>520</v>
      </c>
      <c r="B186" s="36">
        <v>10</v>
      </c>
      <c r="C186" s="34"/>
    </row>
    <row r="187" spans="1:3" s="25" customFormat="1" ht="16.5" customHeight="1">
      <c r="A187" s="35" t="s">
        <v>521</v>
      </c>
      <c r="B187" s="36">
        <v>252</v>
      </c>
      <c r="C187" s="34"/>
    </row>
    <row r="188" spans="1:3" s="25" customFormat="1" ht="16.5" customHeight="1">
      <c r="A188" s="35" t="s">
        <v>522</v>
      </c>
      <c r="B188" s="36">
        <v>10</v>
      </c>
      <c r="C188" s="34"/>
    </row>
    <row r="189" spans="1:3" s="25" customFormat="1" ht="16.5" customHeight="1">
      <c r="A189" s="37" t="s">
        <v>410</v>
      </c>
      <c r="B189" s="36">
        <v>77</v>
      </c>
      <c r="C189" s="34"/>
    </row>
    <row r="190" spans="1:3" s="25" customFormat="1" ht="16.5" customHeight="1">
      <c r="A190" s="47" t="s">
        <v>523</v>
      </c>
      <c r="B190" s="41">
        <v>25</v>
      </c>
      <c r="C190" s="34"/>
    </row>
    <row r="191" spans="1:3" s="25" customFormat="1" ht="16.5" customHeight="1">
      <c r="A191" s="44" t="s">
        <v>524</v>
      </c>
      <c r="B191" s="33">
        <v>4566</v>
      </c>
      <c r="C191" s="34"/>
    </row>
    <row r="192" spans="1:3" s="25" customFormat="1" ht="16.5" customHeight="1">
      <c r="A192" s="35" t="s">
        <v>397</v>
      </c>
      <c r="B192" s="36">
        <v>1079</v>
      </c>
      <c r="C192" s="34"/>
    </row>
    <row r="193" spans="1:3" s="25" customFormat="1" ht="16.5" customHeight="1">
      <c r="A193" s="35" t="s">
        <v>398</v>
      </c>
      <c r="B193" s="36">
        <v>638</v>
      </c>
      <c r="C193" s="34"/>
    </row>
    <row r="194" spans="1:3" s="25" customFormat="1" ht="16.5" customHeight="1">
      <c r="A194" s="35" t="s">
        <v>525</v>
      </c>
      <c r="B194" s="36">
        <v>123</v>
      </c>
      <c r="C194" s="34"/>
    </row>
    <row r="195" spans="1:3" s="25" customFormat="1" ht="16.5" customHeight="1">
      <c r="A195" s="35" t="s">
        <v>526</v>
      </c>
      <c r="B195" s="36">
        <v>80</v>
      </c>
      <c r="C195" s="34"/>
    </row>
    <row r="196" spans="1:3" s="25" customFormat="1" ht="16.5" customHeight="1">
      <c r="A196" s="37" t="s">
        <v>410</v>
      </c>
      <c r="B196" s="36">
        <v>2526</v>
      </c>
      <c r="C196" s="34"/>
    </row>
    <row r="197" spans="1:3" s="25" customFormat="1" ht="16.5" customHeight="1">
      <c r="A197" s="37" t="s">
        <v>1080</v>
      </c>
      <c r="B197" s="36">
        <v>120</v>
      </c>
      <c r="C197" s="34"/>
    </row>
    <row r="198" spans="1:3" s="25" customFormat="1" ht="16.5" customHeight="1">
      <c r="A198" s="37" t="s">
        <v>527</v>
      </c>
      <c r="B198" s="36">
        <v>3616</v>
      </c>
      <c r="C198" s="34"/>
    </row>
    <row r="199" spans="1:3" s="25" customFormat="1" ht="16.5" customHeight="1">
      <c r="A199" s="35" t="s">
        <v>397</v>
      </c>
      <c r="B199" s="36">
        <v>1767</v>
      </c>
      <c r="C199" s="34"/>
    </row>
    <row r="200" spans="1:3" s="25" customFormat="1" ht="16.5" customHeight="1">
      <c r="A200" s="35" t="s">
        <v>398</v>
      </c>
      <c r="B200" s="36">
        <v>28</v>
      </c>
      <c r="C200" s="34"/>
    </row>
    <row r="201" spans="1:3" s="25" customFormat="1" ht="16.5" customHeight="1">
      <c r="A201" s="37" t="s">
        <v>443</v>
      </c>
      <c r="B201" s="36">
        <v>1548</v>
      </c>
      <c r="C201" s="34"/>
    </row>
    <row r="202" spans="1:3" s="25" customFormat="1" ht="16.5" customHeight="1">
      <c r="A202" s="35" t="s">
        <v>528</v>
      </c>
      <c r="B202" s="36">
        <v>60</v>
      </c>
      <c r="C202" s="34"/>
    </row>
    <row r="203" spans="1:3" s="25" customFormat="1" ht="16.5" customHeight="1">
      <c r="A203" s="35" t="s">
        <v>529</v>
      </c>
      <c r="B203" s="36">
        <v>13</v>
      </c>
      <c r="C203" s="34"/>
    </row>
    <row r="204" spans="1:3" s="25" customFormat="1" ht="16.5" customHeight="1">
      <c r="A204" s="37" t="s">
        <v>530</v>
      </c>
      <c r="B204" s="36">
        <v>125</v>
      </c>
      <c r="C204" s="34"/>
    </row>
    <row r="205" spans="1:3" s="25" customFormat="1" ht="16.5" customHeight="1">
      <c r="A205" s="37" t="s">
        <v>1081</v>
      </c>
      <c r="B205" s="36">
        <v>75</v>
      </c>
      <c r="C205" s="34"/>
    </row>
    <row r="206" spans="1:3" s="25" customFormat="1" ht="16.5" customHeight="1">
      <c r="A206" s="35" t="s">
        <v>531</v>
      </c>
      <c r="B206" s="36">
        <v>21</v>
      </c>
      <c r="C206" s="34"/>
    </row>
    <row r="207" spans="1:3" s="25" customFormat="1" ht="16.5" customHeight="1">
      <c r="A207" s="35" t="s">
        <v>398</v>
      </c>
      <c r="B207" s="36">
        <v>21</v>
      </c>
      <c r="C207" s="34"/>
    </row>
    <row r="208" spans="1:3" s="25" customFormat="1" ht="16.5" customHeight="1">
      <c r="A208" s="37" t="s">
        <v>1082</v>
      </c>
      <c r="B208" s="36">
        <f>45351+800</f>
        <v>46151</v>
      </c>
      <c r="C208" s="34"/>
    </row>
    <row r="209" spans="1:3" s="25" customFormat="1" ht="16.5" customHeight="1">
      <c r="A209" s="35" t="s">
        <v>533</v>
      </c>
      <c r="B209" s="36">
        <v>2472</v>
      </c>
      <c r="C209" s="34"/>
    </row>
    <row r="210" spans="1:3" s="25" customFormat="1" ht="16.5" customHeight="1">
      <c r="A210" s="35" t="s">
        <v>397</v>
      </c>
      <c r="B210" s="36">
        <v>334</v>
      </c>
      <c r="C210" s="34"/>
    </row>
    <row r="211" spans="1:3" s="25" customFormat="1" ht="16.5" customHeight="1">
      <c r="A211" s="37" t="s">
        <v>534</v>
      </c>
      <c r="B211" s="36">
        <v>2138</v>
      </c>
      <c r="C211" s="34"/>
    </row>
    <row r="212" spans="1:3" s="25" customFormat="1" ht="16.5" customHeight="1">
      <c r="A212" s="35" t="s">
        <v>535</v>
      </c>
      <c r="B212" s="36">
        <v>25227</v>
      </c>
      <c r="C212" s="34"/>
    </row>
    <row r="213" spans="1:3" s="25" customFormat="1" ht="16.5" customHeight="1">
      <c r="A213" s="35" t="s">
        <v>536</v>
      </c>
      <c r="B213" s="36">
        <v>2024</v>
      </c>
      <c r="C213" s="34"/>
    </row>
    <row r="214" spans="1:3" s="25" customFormat="1" ht="16.5" customHeight="1">
      <c r="A214" s="38" t="s">
        <v>537</v>
      </c>
      <c r="B214" s="36">
        <v>8151</v>
      </c>
      <c r="C214" s="34"/>
    </row>
    <row r="215" spans="1:3" s="25" customFormat="1" ht="16.5" customHeight="1">
      <c r="A215" s="37" t="s">
        <v>538</v>
      </c>
      <c r="B215" s="36">
        <v>5972</v>
      </c>
      <c r="C215" s="34"/>
    </row>
    <row r="216" spans="1:3" s="25" customFormat="1" ht="16.5" customHeight="1">
      <c r="A216" s="35" t="s">
        <v>539</v>
      </c>
      <c r="B216" s="36">
        <v>9035</v>
      </c>
      <c r="C216" s="34"/>
    </row>
    <row r="217" spans="1:3" s="25" customFormat="1" ht="16.5" customHeight="1">
      <c r="A217" s="37" t="s">
        <v>1083</v>
      </c>
      <c r="B217" s="36">
        <v>15</v>
      </c>
      <c r="C217" s="34"/>
    </row>
    <row r="218" spans="1:3" s="25" customFormat="1" ht="16.5" customHeight="1">
      <c r="A218" s="37" t="s">
        <v>540</v>
      </c>
      <c r="B218" s="36">
        <v>30</v>
      </c>
      <c r="C218" s="34"/>
    </row>
    <row r="219" spans="1:3" s="25" customFormat="1" ht="16.5" customHeight="1">
      <c r="A219" s="37" t="s">
        <v>541</v>
      </c>
      <c r="B219" s="36">
        <v>12502</v>
      </c>
      <c r="C219" s="34"/>
    </row>
    <row r="220" spans="1:3" s="25" customFormat="1" ht="16.5" customHeight="1">
      <c r="A220" s="35" t="s">
        <v>542</v>
      </c>
      <c r="B220" s="36">
        <v>5762</v>
      </c>
      <c r="C220" s="34"/>
    </row>
    <row r="221" spans="1:3" s="25" customFormat="1" ht="16.5" customHeight="1">
      <c r="A221" s="35" t="s">
        <v>544</v>
      </c>
      <c r="B221" s="36">
        <v>6590</v>
      </c>
      <c r="C221" s="34"/>
    </row>
    <row r="222" spans="1:3" s="25" customFormat="1" ht="16.5" customHeight="1">
      <c r="A222" s="37" t="s">
        <v>545</v>
      </c>
      <c r="B222" s="36">
        <v>150</v>
      </c>
      <c r="C222" s="34"/>
    </row>
    <row r="223" spans="1:3" s="25" customFormat="1" ht="16.5" customHeight="1">
      <c r="A223" s="35" t="s">
        <v>546</v>
      </c>
      <c r="B223" s="36">
        <v>1325</v>
      </c>
      <c r="C223" s="34"/>
    </row>
    <row r="224" spans="1:3" s="25" customFormat="1" ht="16.5" customHeight="1">
      <c r="A224" s="37" t="s">
        <v>547</v>
      </c>
      <c r="B224" s="36">
        <v>1325</v>
      </c>
      <c r="C224" s="34"/>
    </row>
    <row r="225" spans="1:3" s="25" customFormat="1" ht="16.5" customHeight="1">
      <c r="A225" s="35" t="s">
        <v>548</v>
      </c>
      <c r="B225" s="36">
        <f>2925+800</f>
        <v>3725</v>
      </c>
      <c r="C225" s="34"/>
    </row>
    <row r="226" spans="1:3" s="25" customFormat="1" ht="16.5" customHeight="1">
      <c r="A226" s="35" t="s">
        <v>550</v>
      </c>
      <c r="B226" s="36">
        <v>1191</v>
      </c>
      <c r="C226" s="34"/>
    </row>
    <row r="227" spans="1:3" s="25" customFormat="1" ht="16.5" customHeight="1">
      <c r="A227" s="46" t="s">
        <v>551</v>
      </c>
      <c r="B227" s="41">
        <f>1734+800</f>
        <v>2534</v>
      </c>
      <c r="C227" s="34"/>
    </row>
    <row r="228" spans="1:3" s="25" customFormat="1" ht="16.5" customHeight="1">
      <c r="A228" s="48" t="s">
        <v>1084</v>
      </c>
      <c r="B228" s="33">
        <v>900</v>
      </c>
      <c r="C228" s="34"/>
    </row>
    <row r="229" spans="1:3" s="25" customFormat="1" ht="16.5" customHeight="1">
      <c r="A229" s="49" t="s">
        <v>1085</v>
      </c>
      <c r="B229" s="36">
        <v>7548</v>
      </c>
      <c r="C229" s="34"/>
    </row>
    <row r="230" spans="1:3" s="25" customFormat="1" ht="16.5" customHeight="1">
      <c r="A230" s="50" t="s">
        <v>553</v>
      </c>
      <c r="B230" s="36">
        <v>215</v>
      </c>
      <c r="C230" s="34"/>
    </row>
    <row r="231" spans="1:3" s="25" customFormat="1" ht="16.5" customHeight="1">
      <c r="A231" s="49" t="s">
        <v>397</v>
      </c>
      <c r="B231" s="36">
        <v>215</v>
      </c>
      <c r="C231" s="34"/>
    </row>
    <row r="232" spans="1:3" s="25" customFormat="1" ht="16.5" customHeight="1">
      <c r="A232" s="50" t="s">
        <v>556</v>
      </c>
      <c r="B232" s="36">
        <v>6450</v>
      </c>
      <c r="C232" s="34"/>
    </row>
    <row r="233" spans="1:3" s="25" customFormat="1" ht="16.5" customHeight="1">
      <c r="A233" s="50" t="s">
        <v>557</v>
      </c>
      <c r="B233" s="36">
        <v>1450</v>
      </c>
      <c r="C233" s="34"/>
    </row>
    <row r="234" spans="1:3" s="25" customFormat="1" ht="16.5" customHeight="1">
      <c r="A234" s="50" t="s">
        <v>558</v>
      </c>
      <c r="B234" s="36">
        <v>5000</v>
      </c>
      <c r="C234" s="34"/>
    </row>
    <row r="235" spans="1:3" s="25" customFormat="1" ht="16.5" customHeight="1">
      <c r="A235" s="50" t="s">
        <v>560</v>
      </c>
      <c r="B235" s="36">
        <v>321</v>
      </c>
      <c r="C235" s="34"/>
    </row>
    <row r="236" spans="1:3" s="25" customFormat="1" ht="16.5" customHeight="1">
      <c r="A236" s="50" t="s">
        <v>561</v>
      </c>
      <c r="B236" s="36">
        <v>321</v>
      </c>
      <c r="C236" s="34"/>
    </row>
    <row r="237" spans="1:3" s="25" customFormat="1" ht="16.5" customHeight="1">
      <c r="A237" s="50" t="s">
        <v>562</v>
      </c>
      <c r="B237" s="36">
        <v>128</v>
      </c>
      <c r="C237" s="34"/>
    </row>
    <row r="238" spans="1:3" s="25" customFormat="1" ht="16.5" customHeight="1">
      <c r="A238" s="50" t="s">
        <v>564</v>
      </c>
      <c r="B238" s="36">
        <v>128</v>
      </c>
      <c r="C238" s="34"/>
    </row>
    <row r="239" spans="1:3" s="25" customFormat="1" ht="16.5" customHeight="1">
      <c r="A239" s="50" t="s">
        <v>565</v>
      </c>
      <c r="B239" s="36">
        <v>404</v>
      </c>
      <c r="C239" s="34"/>
    </row>
    <row r="240" spans="1:3" s="25" customFormat="1" ht="16.5" customHeight="1">
      <c r="A240" s="50" t="s">
        <v>561</v>
      </c>
      <c r="B240" s="36">
        <v>346</v>
      </c>
      <c r="C240" s="34"/>
    </row>
    <row r="241" spans="1:3" s="25" customFormat="1" ht="16.5" customHeight="1">
      <c r="A241" s="51" t="s">
        <v>566</v>
      </c>
      <c r="B241" s="36">
        <v>30</v>
      </c>
      <c r="C241" s="34"/>
    </row>
    <row r="242" spans="1:3" s="25" customFormat="1" ht="16.5" customHeight="1">
      <c r="A242" s="51" t="s">
        <v>1086</v>
      </c>
      <c r="B242" s="36">
        <v>18</v>
      </c>
      <c r="C242" s="34"/>
    </row>
    <row r="243" spans="1:3" s="25" customFormat="1" ht="16.5" customHeight="1">
      <c r="A243" s="51" t="s">
        <v>567</v>
      </c>
      <c r="B243" s="36">
        <v>10</v>
      </c>
      <c r="C243" s="34"/>
    </row>
    <row r="244" spans="1:3" s="25" customFormat="1" ht="16.5" customHeight="1">
      <c r="A244" s="50" t="s">
        <v>568</v>
      </c>
      <c r="B244" s="36">
        <v>30</v>
      </c>
      <c r="C244" s="34"/>
    </row>
    <row r="245" spans="1:3" s="25" customFormat="1" ht="16.5" customHeight="1">
      <c r="A245" s="51" t="s">
        <v>569</v>
      </c>
      <c r="B245" s="36">
        <v>30</v>
      </c>
      <c r="C245" s="34"/>
    </row>
    <row r="246" spans="1:3" s="25" customFormat="1" ht="16.5" customHeight="1">
      <c r="A246" s="51" t="s">
        <v>1087</v>
      </c>
      <c r="B246" s="36">
        <f>13318+110</f>
        <v>13428</v>
      </c>
      <c r="C246" s="34"/>
    </row>
    <row r="247" spans="1:3" s="25" customFormat="1" ht="16.5" customHeight="1">
      <c r="A247" s="50" t="s">
        <v>571</v>
      </c>
      <c r="B247" s="36">
        <v>2967</v>
      </c>
      <c r="C247" s="34"/>
    </row>
    <row r="248" spans="1:3" s="25" customFormat="1" ht="16.5" customHeight="1">
      <c r="A248" s="50" t="s">
        <v>397</v>
      </c>
      <c r="B248" s="36">
        <v>221</v>
      </c>
      <c r="C248" s="34"/>
    </row>
    <row r="249" spans="1:3" s="25" customFormat="1" ht="16.5" customHeight="1">
      <c r="A249" s="51" t="s">
        <v>398</v>
      </c>
      <c r="B249" s="36">
        <v>20</v>
      </c>
      <c r="C249" s="34"/>
    </row>
    <row r="250" spans="1:3" s="25" customFormat="1" ht="16.5" customHeight="1">
      <c r="A250" s="51" t="s">
        <v>572</v>
      </c>
      <c r="B250" s="36">
        <v>599</v>
      </c>
      <c r="C250" s="34"/>
    </row>
    <row r="251" spans="1:3" s="25" customFormat="1" ht="16.5" customHeight="1">
      <c r="A251" s="51" t="s">
        <v>573</v>
      </c>
      <c r="B251" s="36">
        <v>970</v>
      </c>
      <c r="C251" s="34"/>
    </row>
    <row r="252" spans="1:3" s="25" customFormat="1" ht="16.5" customHeight="1">
      <c r="A252" s="50" t="s">
        <v>574</v>
      </c>
      <c r="B252" s="36">
        <v>132</v>
      </c>
      <c r="C252" s="34"/>
    </row>
    <row r="253" spans="1:3" s="25" customFormat="1" ht="16.5" customHeight="1">
      <c r="A253" s="50" t="s">
        <v>575</v>
      </c>
      <c r="B253" s="36">
        <v>332</v>
      </c>
      <c r="C253" s="34"/>
    </row>
    <row r="254" spans="1:3" s="25" customFormat="1" ht="16.5" customHeight="1">
      <c r="A254" s="50" t="s">
        <v>576</v>
      </c>
      <c r="B254" s="36">
        <v>80</v>
      </c>
      <c r="C254" s="34"/>
    </row>
    <row r="255" spans="1:3" s="25" customFormat="1" ht="16.5" customHeight="1">
      <c r="A255" s="50" t="s">
        <v>577</v>
      </c>
      <c r="B255" s="36">
        <v>274</v>
      </c>
      <c r="C255" s="34"/>
    </row>
    <row r="256" spans="1:3" s="25" customFormat="1" ht="16.5" customHeight="1">
      <c r="A256" s="50" t="s">
        <v>578</v>
      </c>
      <c r="B256" s="36">
        <v>339</v>
      </c>
      <c r="C256" s="34"/>
    </row>
    <row r="257" spans="1:3" s="25" customFormat="1" ht="16.5" customHeight="1">
      <c r="A257" s="50" t="s">
        <v>579</v>
      </c>
      <c r="B257" s="36">
        <v>932</v>
      </c>
      <c r="C257" s="34"/>
    </row>
    <row r="258" spans="1:3" s="25" customFormat="1" ht="16.5" customHeight="1">
      <c r="A258" s="50" t="s">
        <v>397</v>
      </c>
      <c r="B258" s="36">
        <v>276</v>
      </c>
      <c r="C258" s="34"/>
    </row>
    <row r="259" spans="1:3" s="25" customFormat="1" ht="16.5" customHeight="1">
      <c r="A259" s="50" t="s">
        <v>398</v>
      </c>
      <c r="B259" s="36">
        <v>10</v>
      </c>
      <c r="C259" s="34"/>
    </row>
    <row r="260" spans="1:3" s="25" customFormat="1" ht="16.5" customHeight="1">
      <c r="A260" s="50" t="s">
        <v>580</v>
      </c>
      <c r="B260" s="36">
        <v>195</v>
      </c>
      <c r="C260" s="34"/>
    </row>
    <row r="261" spans="1:3" s="25" customFormat="1" ht="16.5" customHeight="1">
      <c r="A261" s="50" t="s">
        <v>581</v>
      </c>
      <c r="B261" s="36">
        <v>344</v>
      </c>
      <c r="C261" s="34"/>
    </row>
    <row r="262" spans="1:3" s="25" customFormat="1" ht="16.5" customHeight="1">
      <c r="A262" s="50" t="s">
        <v>582</v>
      </c>
      <c r="B262" s="36">
        <v>107</v>
      </c>
      <c r="C262" s="34"/>
    </row>
    <row r="263" spans="1:3" s="25" customFormat="1" ht="16.5" customHeight="1">
      <c r="A263" s="50" t="s">
        <v>583</v>
      </c>
      <c r="B263" s="36">
        <v>1797</v>
      </c>
      <c r="C263" s="34"/>
    </row>
    <row r="264" spans="1:3" s="25" customFormat="1" ht="16.5" customHeight="1">
      <c r="A264" s="52" t="s">
        <v>397</v>
      </c>
      <c r="B264" s="41">
        <v>404</v>
      </c>
      <c r="C264" s="34"/>
    </row>
    <row r="265" spans="1:3" s="25" customFormat="1" ht="16.5" customHeight="1">
      <c r="A265" s="53" t="s">
        <v>1088</v>
      </c>
      <c r="B265" s="33">
        <v>400</v>
      </c>
      <c r="C265" s="34"/>
    </row>
    <row r="266" spans="1:3" s="25" customFormat="1" ht="16.5" customHeight="1">
      <c r="A266" s="50" t="s">
        <v>584</v>
      </c>
      <c r="B266" s="36">
        <v>442</v>
      </c>
      <c r="C266" s="34"/>
    </row>
    <row r="267" spans="1:3" s="25" customFormat="1" ht="16.5" customHeight="1">
      <c r="A267" s="50" t="s">
        <v>585</v>
      </c>
      <c r="B267" s="36">
        <v>495</v>
      </c>
      <c r="C267" s="34"/>
    </row>
    <row r="268" spans="1:3" s="25" customFormat="1" ht="16.5" customHeight="1">
      <c r="A268" s="50" t="s">
        <v>587</v>
      </c>
      <c r="B268" s="36">
        <v>56</v>
      </c>
      <c r="C268" s="34"/>
    </row>
    <row r="269" spans="1:3" s="25" customFormat="1" ht="16.5" customHeight="1">
      <c r="A269" s="50" t="s">
        <v>588</v>
      </c>
      <c r="B269" s="36">
        <f>6710+110</f>
        <v>6820</v>
      </c>
      <c r="C269" s="34"/>
    </row>
    <row r="270" spans="1:3" s="25" customFormat="1" ht="16.5" customHeight="1">
      <c r="A270" s="50" t="s">
        <v>398</v>
      </c>
      <c r="B270" s="36">
        <v>84</v>
      </c>
      <c r="C270" s="34"/>
    </row>
    <row r="271" spans="1:3" s="25" customFormat="1" ht="16.5" customHeight="1">
      <c r="A271" s="50" t="s">
        <v>589</v>
      </c>
      <c r="B271" s="36">
        <v>5667</v>
      </c>
      <c r="C271" s="34"/>
    </row>
    <row r="272" spans="1:3" s="25" customFormat="1" ht="16.5" customHeight="1">
      <c r="A272" s="50" t="s">
        <v>590</v>
      </c>
      <c r="B272" s="36">
        <v>679</v>
      </c>
      <c r="C272" s="34"/>
    </row>
    <row r="273" spans="1:3" s="25" customFormat="1" ht="16.5" customHeight="1">
      <c r="A273" s="50" t="s">
        <v>592</v>
      </c>
      <c r="B273" s="36">
        <f>280+110</f>
        <v>390</v>
      </c>
      <c r="C273" s="34"/>
    </row>
    <row r="274" spans="1:3" s="25" customFormat="1" ht="16.5" customHeight="1">
      <c r="A274" s="50" t="s">
        <v>1089</v>
      </c>
      <c r="B274" s="36">
        <v>912</v>
      </c>
      <c r="C274" s="34"/>
    </row>
    <row r="275" spans="1:3" s="25" customFormat="1" ht="16.5" customHeight="1">
      <c r="A275" s="50" t="s">
        <v>1090</v>
      </c>
      <c r="B275" s="36">
        <v>912</v>
      </c>
      <c r="C275" s="34"/>
    </row>
    <row r="276" spans="1:3" s="25" customFormat="1" ht="16.5" customHeight="1">
      <c r="A276" s="50" t="s">
        <v>1091</v>
      </c>
      <c r="B276" s="36">
        <v>53301</v>
      </c>
      <c r="C276" s="34"/>
    </row>
    <row r="277" spans="1:3" s="25" customFormat="1" ht="16.5" customHeight="1">
      <c r="A277" s="50" t="s">
        <v>599</v>
      </c>
      <c r="B277" s="36">
        <v>3287</v>
      </c>
      <c r="C277" s="34"/>
    </row>
    <row r="278" spans="1:3" s="25" customFormat="1" ht="16.5" customHeight="1">
      <c r="A278" s="50" t="s">
        <v>397</v>
      </c>
      <c r="B278" s="36">
        <v>1503</v>
      </c>
      <c r="C278" s="34"/>
    </row>
    <row r="279" spans="1:3" s="25" customFormat="1" ht="16.5" customHeight="1">
      <c r="A279" s="50" t="s">
        <v>600</v>
      </c>
      <c r="B279" s="36">
        <v>106</v>
      </c>
      <c r="C279" s="34"/>
    </row>
    <row r="280" spans="1:3" s="25" customFormat="1" ht="16.5" customHeight="1">
      <c r="A280" s="50" t="s">
        <v>1092</v>
      </c>
      <c r="B280" s="36">
        <v>31</v>
      </c>
      <c r="C280" s="34"/>
    </row>
    <row r="281" spans="1:3" s="25" customFormat="1" ht="16.5" customHeight="1">
      <c r="A281" s="49" t="s">
        <v>601</v>
      </c>
      <c r="B281" s="36">
        <v>874</v>
      </c>
      <c r="C281" s="34"/>
    </row>
    <row r="282" spans="1:3" s="25" customFormat="1" ht="16.5" customHeight="1">
      <c r="A282" s="50" t="s">
        <v>602</v>
      </c>
      <c r="B282" s="36">
        <v>773</v>
      </c>
      <c r="C282" s="34"/>
    </row>
    <row r="283" spans="1:3" s="25" customFormat="1" ht="16.5" customHeight="1">
      <c r="A283" s="50" t="s">
        <v>604</v>
      </c>
      <c r="B283" s="36">
        <v>1044</v>
      </c>
      <c r="C283" s="34"/>
    </row>
    <row r="284" spans="1:3" s="25" customFormat="1" ht="16.5" customHeight="1">
      <c r="A284" s="50" t="s">
        <v>397</v>
      </c>
      <c r="B284" s="36">
        <v>409</v>
      </c>
      <c r="C284" s="34"/>
    </row>
    <row r="285" spans="1:3" s="25" customFormat="1" ht="16.5" customHeight="1">
      <c r="A285" s="50" t="s">
        <v>398</v>
      </c>
      <c r="B285" s="36">
        <v>56</v>
      </c>
      <c r="C285" s="34"/>
    </row>
    <row r="286" spans="1:3" s="25" customFormat="1" ht="16.5" customHeight="1">
      <c r="A286" s="49" t="s">
        <v>605</v>
      </c>
      <c r="B286" s="36">
        <v>157</v>
      </c>
      <c r="C286" s="34"/>
    </row>
    <row r="287" spans="1:3" s="25" customFormat="1" ht="16.5" customHeight="1">
      <c r="A287" s="49" t="s">
        <v>606</v>
      </c>
      <c r="B287" s="36">
        <v>157</v>
      </c>
      <c r="C287" s="34"/>
    </row>
    <row r="288" spans="1:3" s="25" customFormat="1" ht="16.5" customHeight="1">
      <c r="A288" s="50" t="s">
        <v>608</v>
      </c>
      <c r="B288" s="36">
        <v>5</v>
      </c>
      <c r="C288" s="34"/>
    </row>
    <row r="289" spans="1:3" s="25" customFormat="1" ht="16.5" customHeight="1">
      <c r="A289" s="50" t="s">
        <v>609</v>
      </c>
      <c r="B289" s="36">
        <v>47</v>
      </c>
      <c r="C289" s="34"/>
    </row>
    <row r="290" spans="1:3" s="25" customFormat="1" ht="16.5" customHeight="1">
      <c r="A290" s="50" t="s">
        <v>610</v>
      </c>
      <c r="B290" s="36">
        <v>213</v>
      </c>
      <c r="C290" s="34"/>
    </row>
    <row r="291" spans="1:3" s="25" customFormat="1" ht="16.5" customHeight="1">
      <c r="A291" s="50" t="s">
        <v>611</v>
      </c>
      <c r="B291" s="36">
        <v>44613</v>
      </c>
      <c r="C291" s="34"/>
    </row>
    <row r="292" spans="1:3" s="25" customFormat="1" ht="16.5" customHeight="1">
      <c r="A292" s="50" t="s">
        <v>612</v>
      </c>
      <c r="B292" s="36">
        <v>18846</v>
      </c>
      <c r="C292" s="34"/>
    </row>
    <row r="293" spans="1:3" s="25" customFormat="1" ht="16.5" customHeight="1">
      <c r="A293" s="50" t="s">
        <v>613</v>
      </c>
      <c r="B293" s="36">
        <v>1227</v>
      </c>
      <c r="C293" s="34"/>
    </row>
    <row r="294" spans="1:3" s="25" customFormat="1" ht="16.5" customHeight="1">
      <c r="A294" s="50" t="s">
        <v>614</v>
      </c>
      <c r="B294" s="36">
        <v>14600</v>
      </c>
      <c r="C294" s="34"/>
    </row>
    <row r="295" spans="1:3" s="25" customFormat="1" ht="16.5" customHeight="1">
      <c r="A295" s="50" t="s">
        <v>615</v>
      </c>
      <c r="B295" s="36">
        <v>9940</v>
      </c>
      <c r="C295" s="34"/>
    </row>
    <row r="296" spans="1:3" s="25" customFormat="1" ht="16.5" customHeight="1">
      <c r="A296" s="49" t="s">
        <v>619</v>
      </c>
      <c r="B296" s="36">
        <v>74</v>
      </c>
      <c r="C296" s="34"/>
    </row>
    <row r="297" spans="1:3" s="25" customFormat="1" ht="16.5" customHeight="1">
      <c r="A297" s="50" t="s">
        <v>621</v>
      </c>
      <c r="B297" s="36">
        <v>74</v>
      </c>
      <c r="C297" s="34"/>
    </row>
    <row r="298" spans="1:3" s="25" customFormat="1" ht="16.5" customHeight="1">
      <c r="A298" s="50" t="s">
        <v>623</v>
      </c>
      <c r="B298" s="36">
        <v>689</v>
      </c>
      <c r="C298" s="34"/>
    </row>
    <row r="299" spans="1:3" s="25" customFormat="1" ht="16.5" customHeight="1">
      <c r="A299" s="50" t="s">
        <v>1093</v>
      </c>
      <c r="B299" s="36">
        <v>689</v>
      </c>
      <c r="C299" s="34"/>
    </row>
    <row r="300" spans="1:3" s="25" customFormat="1" ht="16.5" customHeight="1">
      <c r="A300" s="49" t="s">
        <v>625</v>
      </c>
      <c r="B300" s="36">
        <v>693</v>
      </c>
      <c r="C300" s="34"/>
    </row>
    <row r="301" spans="1:3" s="25" customFormat="1" ht="16.5" customHeight="1">
      <c r="A301" s="52" t="s">
        <v>626</v>
      </c>
      <c r="B301" s="41">
        <v>25</v>
      </c>
      <c r="C301" s="34"/>
    </row>
    <row r="302" spans="1:3" s="25" customFormat="1" ht="16.5" customHeight="1">
      <c r="A302" s="53" t="s">
        <v>627</v>
      </c>
      <c r="B302" s="33">
        <v>668</v>
      </c>
      <c r="C302" s="34"/>
    </row>
    <row r="303" spans="1:3" s="25" customFormat="1" ht="16.5" customHeight="1">
      <c r="A303" s="50" t="s">
        <v>628</v>
      </c>
      <c r="B303" s="36">
        <v>1254</v>
      </c>
      <c r="C303" s="34"/>
    </row>
    <row r="304" spans="1:3" s="25" customFormat="1" ht="16.5" customHeight="1">
      <c r="A304" s="49" t="s">
        <v>397</v>
      </c>
      <c r="B304" s="36">
        <v>165</v>
      </c>
      <c r="C304" s="34"/>
    </row>
    <row r="305" spans="1:3" s="25" customFormat="1" ht="16.5" customHeight="1">
      <c r="A305" s="49" t="s">
        <v>398</v>
      </c>
      <c r="B305" s="36">
        <v>45</v>
      </c>
      <c r="C305" s="34"/>
    </row>
    <row r="306" spans="1:3" s="25" customFormat="1" ht="16.5" customHeight="1">
      <c r="A306" s="49" t="s">
        <v>629</v>
      </c>
      <c r="B306" s="36">
        <v>446</v>
      </c>
      <c r="C306" s="34"/>
    </row>
    <row r="307" spans="1:3" s="25" customFormat="1" ht="16.5" customHeight="1">
      <c r="A307" s="49" t="s">
        <v>630</v>
      </c>
      <c r="B307" s="36">
        <v>278</v>
      </c>
      <c r="C307" s="34"/>
    </row>
    <row r="308" spans="1:3" s="25" customFormat="1" ht="16.5" customHeight="1">
      <c r="A308" s="50" t="s">
        <v>631</v>
      </c>
      <c r="B308" s="36">
        <v>155</v>
      </c>
      <c r="C308" s="34"/>
    </row>
    <row r="309" spans="1:3" s="25" customFormat="1" ht="16.5" customHeight="1">
      <c r="A309" s="50" t="s">
        <v>632</v>
      </c>
      <c r="B309" s="36">
        <v>165</v>
      </c>
      <c r="C309" s="34"/>
    </row>
    <row r="310" spans="1:3" s="25" customFormat="1" ht="16.5" customHeight="1">
      <c r="A310" s="50" t="s">
        <v>633</v>
      </c>
      <c r="B310" s="36">
        <v>123</v>
      </c>
      <c r="C310" s="34"/>
    </row>
    <row r="311" spans="1:3" s="25" customFormat="1" ht="16.5" customHeight="1">
      <c r="A311" s="50" t="s">
        <v>397</v>
      </c>
      <c r="B311" s="36">
        <v>80</v>
      </c>
      <c r="C311" s="34"/>
    </row>
    <row r="312" spans="1:3" s="25" customFormat="1" ht="16.5" customHeight="1">
      <c r="A312" s="50" t="s">
        <v>398</v>
      </c>
      <c r="B312" s="36">
        <v>35</v>
      </c>
      <c r="C312" s="34"/>
    </row>
    <row r="313" spans="1:3" s="25" customFormat="1" ht="16.5" customHeight="1">
      <c r="A313" s="50" t="s">
        <v>634</v>
      </c>
      <c r="B313" s="36">
        <v>8</v>
      </c>
      <c r="C313" s="34"/>
    </row>
    <row r="314" spans="1:3" s="25" customFormat="1" ht="16.5" customHeight="1">
      <c r="A314" s="50" t="s">
        <v>635</v>
      </c>
      <c r="B314" s="36">
        <v>266</v>
      </c>
      <c r="C314" s="34"/>
    </row>
    <row r="315" spans="1:3" s="25" customFormat="1" ht="16.5" customHeight="1">
      <c r="A315" s="50" t="s">
        <v>636</v>
      </c>
      <c r="B315" s="36">
        <v>266</v>
      </c>
      <c r="C315" s="34"/>
    </row>
    <row r="316" spans="1:3" s="25" customFormat="1" ht="16.5" customHeight="1">
      <c r="A316" s="50" t="s">
        <v>637</v>
      </c>
      <c r="B316" s="36">
        <v>92</v>
      </c>
      <c r="C316" s="34"/>
    </row>
    <row r="317" spans="1:3" s="25" customFormat="1" ht="16.5" customHeight="1">
      <c r="A317" s="50" t="s">
        <v>638</v>
      </c>
      <c r="B317" s="36">
        <v>92</v>
      </c>
      <c r="C317" s="34"/>
    </row>
    <row r="318" spans="1:3" s="25" customFormat="1" ht="16.5" customHeight="1">
      <c r="A318" s="50" t="s">
        <v>641</v>
      </c>
      <c r="B318" s="36">
        <v>156</v>
      </c>
      <c r="C318" s="34"/>
    </row>
    <row r="319" spans="1:3" s="25" customFormat="1" ht="16.5" customHeight="1">
      <c r="A319" s="50" t="s">
        <v>1094</v>
      </c>
      <c r="B319" s="36">
        <v>156</v>
      </c>
      <c r="C319" s="34"/>
    </row>
    <row r="320" spans="1:3" s="25" customFormat="1" ht="16.5" customHeight="1">
      <c r="A320" s="50" t="s">
        <v>1095</v>
      </c>
      <c r="B320" s="36">
        <v>1010</v>
      </c>
      <c r="C320" s="34"/>
    </row>
    <row r="321" spans="1:3" s="25" customFormat="1" ht="16.5" customHeight="1">
      <c r="A321" s="50" t="s">
        <v>1096</v>
      </c>
      <c r="B321" s="36">
        <v>22446</v>
      </c>
      <c r="C321" s="34"/>
    </row>
    <row r="322" spans="1:3" s="25" customFormat="1" ht="16.5" customHeight="1">
      <c r="A322" s="50" t="s">
        <v>646</v>
      </c>
      <c r="B322" s="36">
        <v>1453</v>
      </c>
      <c r="C322" s="34"/>
    </row>
    <row r="323" spans="1:3" s="25" customFormat="1" ht="16.5" customHeight="1">
      <c r="A323" s="50" t="s">
        <v>397</v>
      </c>
      <c r="B323" s="36">
        <v>890</v>
      </c>
      <c r="C323" s="34"/>
    </row>
    <row r="324" spans="1:3" s="25" customFormat="1" ht="16.5" customHeight="1">
      <c r="A324" s="50" t="s">
        <v>647</v>
      </c>
      <c r="B324" s="36">
        <v>563</v>
      </c>
      <c r="C324" s="34"/>
    </row>
    <row r="325" spans="1:3" s="25" customFormat="1" ht="16.5" customHeight="1">
      <c r="A325" s="50" t="s">
        <v>648</v>
      </c>
      <c r="B325" s="36">
        <v>7704</v>
      </c>
      <c r="C325" s="34"/>
    </row>
    <row r="326" spans="1:3" s="25" customFormat="1" ht="16.5" customHeight="1">
      <c r="A326" s="50" t="s">
        <v>649</v>
      </c>
      <c r="B326" s="36">
        <v>2395</v>
      </c>
      <c r="C326" s="34"/>
    </row>
    <row r="327" spans="1:3" s="25" customFormat="1" ht="16.5" customHeight="1">
      <c r="A327" s="50" t="s">
        <v>1097</v>
      </c>
      <c r="B327" s="36">
        <v>1920</v>
      </c>
      <c r="C327" s="34"/>
    </row>
    <row r="328" spans="1:3" s="25" customFormat="1" ht="16.5" customHeight="1">
      <c r="A328" s="50" t="s">
        <v>651</v>
      </c>
      <c r="B328" s="36">
        <v>1786</v>
      </c>
      <c r="C328" s="34"/>
    </row>
    <row r="329" spans="1:3" s="25" customFormat="1" ht="16.5" customHeight="1">
      <c r="A329" s="50" t="s">
        <v>652</v>
      </c>
      <c r="B329" s="36">
        <v>1142</v>
      </c>
      <c r="C329" s="34"/>
    </row>
    <row r="330" spans="1:3" s="25" customFormat="1" ht="16.5" customHeight="1">
      <c r="A330" s="50" t="s">
        <v>653</v>
      </c>
      <c r="B330" s="36">
        <v>336</v>
      </c>
      <c r="C330" s="34"/>
    </row>
    <row r="331" spans="1:3" s="25" customFormat="1" ht="16.5" customHeight="1">
      <c r="A331" s="50" t="s">
        <v>654</v>
      </c>
      <c r="B331" s="36">
        <v>125</v>
      </c>
      <c r="C331" s="34"/>
    </row>
    <row r="332" spans="1:3" s="25" customFormat="1" ht="16.5" customHeight="1">
      <c r="A332" s="50" t="s">
        <v>656</v>
      </c>
      <c r="B332" s="36">
        <v>48</v>
      </c>
      <c r="C332" s="34"/>
    </row>
    <row r="333" spans="1:3" s="25" customFormat="1" ht="16.5" customHeight="1">
      <c r="A333" s="50" t="s">
        <v>658</v>
      </c>
      <c r="B333" s="36">
        <v>48</v>
      </c>
      <c r="C333" s="34"/>
    </row>
    <row r="334" spans="1:3" s="25" customFormat="1" ht="16.5" customHeight="1">
      <c r="A334" s="50" t="s">
        <v>659</v>
      </c>
      <c r="B334" s="36">
        <v>5797</v>
      </c>
      <c r="C334" s="34"/>
    </row>
    <row r="335" spans="1:3" s="25" customFormat="1" ht="16.5" customHeight="1">
      <c r="A335" s="50" t="s">
        <v>660</v>
      </c>
      <c r="B335" s="36">
        <v>1090</v>
      </c>
      <c r="C335" s="34"/>
    </row>
    <row r="336" spans="1:3" s="25" customFormat="1" ht="16.5" customHeight="1">
      <c r="A336" s="50" t="s">
        <v>661</v>
      </c>
      <c r="B336" s="36">
        <v>535</v>
      </c>
      <c r="C336" s="34"/>
    </row>
    <row r="337" spans="1:3" s="25" customFormat="1" ht="16.5" customHeight="1">
      <c r="A337" s="50" t="s">
        <v>1098</v>
      </c>
      <c r="B337" s="36">
        <v>615</v>
      </c>
      <c r="C337" s="34"/>
    </row>
    <row r="338" spans="1:3" s="25" customFormat="1" ht="16.5" customHeight="1">
      <c r="A338" s="52" t="s">
        <v>662</v>
      </c>
      <c r="B338" s="41">
        <v>176</v>
      </c>
      <c r="C338" s="34"/>
    </row>
    <row r="339" spans="1:3" s="25" customFormat="1" ht="16.5" customHeight="1">
      <c r="A339" s="54" t="s">
        <v>663</v>
      </c>
      <c r="B339" s="33">
        <v>1233</v>
      </c>
      <c r="C339" s="34"/>
    </row>
    <row r="340" spans="1:3" s="25" customFormat="1" ht="16.5" customHeight="1">
      <c r="A340" s="49" t="s">
        <v>664</v>
      </c>
      <c r="B340" s="36">
        <v>1176</v>
      </c>
      <c r="C340" s="34"/>
    </row>
    <row r="341" spans="1:3" s="25" customFormat="1" ht="16.5" customHeight="1">
      <c r="A341" s="49" t="s">
        <v>665</v>
      </c>
      <c r="B341" s="36">
        <v>900</v>
      </c>
      <c r="C341" s="34"/>
    </row>
    <row r="342" spans="1:3" s="25" customFormat="1" ht="16.5" customHeight="1">
      <c r="A342" s="49" t="s">
        <v>1099</v>
      </c>
      <c r="B342" s="36">
        <v>72</v>
      </c>
      <c r="C342" s="34"/>
    </row>
    <row r="343" spans="1:3" s="25" customFormat="1" ht="16.5" customHeight="1">
      <c r="A343" s="49" t="s">
        <v>666</v>
      </c>
      <c r="B343" s="36">
        <v>290</v>
      </c>
      <c r="C343" s="34"/>
    </row>
    <row r="344" spans="1:3" s="25" customFormat="1" ht="16.5" customHeight="1">
      <c r="A344" s="49" t="s">
        <v>668</v>
      </c>
      <c r="B344" s="36">
        <v>290</v>
      </c>
      <c r="C344" s="34"/>
    </row>
    <row r="345" spans="1:3" s="25" customFormat="1" ht="16.5" customHeight="1">
      <c r="A345" s="49" t="s">
        <v>669</v>
      </c>
      <c r="B345" s="36">
        <v>1988</v>
      </c>
      <c r="C345" s="34"/>
    </row>
    <row r="346" spans="1:3" s="25" customFormat="1" ht="16.5" customHeight="1">
      <c r="A346" s="50" t="s">
        <v>397</v>
      </c>
      <c r="B346" s="36">
        <v>665</v>
      </c>
      <c r="C346" s="34"/>
    </row>
    <row r="347" spans="1:3" s="25" customFormat="1" ht="16.5" customHeight="1">
      <c r="A347" s="50" t="s">
        <v>398</v>
      </c>
      <c r="B347" s="36">
        <v>61</v>
      </c>
      <c r="C347" s="34"/>
    </row>
    <row r="348" spans="1:3" s="25" customFormat="1" ht="16.5" customHeight="1">
      <c r="A348" s="50" t="s">
        <v>670</v>
      </c>
      <c r="B348" s="36">
        <v>48</v>
      </c>
      <c r="C348" s="34"/>
    </row>
    <row r="349" spans="1:3" s="25" customFormat="1" ht="16.5" customHeight="1">
      <c r="A349" s="50" t="s">
        <v>672</v>
      </c>
      <c r="B349" s="36">
        <v>5</v>
      </c>
      <c r="C349" s="34"/>
    </row>
    <row r="350" spans="1:3" s="25" customFormat="1" ht="16.5" customHeight="1">
      <c r="A350" s="50" t="s">
        <v>673</v>
      </c>
      <c r="B350" s="36">
        <v>77</v>
      </c>
      <c r="C350" s="34"/>
    </row>
    <row r="351" spans="1:3" s="25" customFormat="1" ht="16.5" customHeight="1">
      <c r="A351" s="50" t="s">
        <v>410</v>
      </c>
      <c r="B351" s="36">
        <v>428</v>
      </c>
      <c r="C351" s="34"/>
    </row>
    <row r="352" spans="1:3" s="25" customFormat="1" ht="16.5" customHeight="1">
      <c r="A352" s="50" t="s">
        <v>674</v>
      </c>
      <c r="B352" s="36">
        <v>704</v>
      </c>
      <c r="C352" s="34"/>
    </row>
    <row r="353" spans="1:3" s="25" customFormat="1" ht="16.5" customHeight="1">
      <c r="A353" s="49" t="s">
        <v>675</v>
      </c>
      <c r="B353" s="36">
        <v>4850</v>
      </c>
      <c r="C353" s="34"/>
    </row>
    <row r="354" spans="1:3" s="25" customFormat="1" ht="16.5" customHeight="1">
      <c r="A354" s="49" t="s">
        <v>676</v>
      </c>
      <c r="B354" s="36">
        <v>2230</v>
      </c>
      <c r="C354" s="34"/>
    </row>
    <row r="355" spans="1:3" s="25" customFormat="1" ht="16.5" customHeight="1">
      <c r="A355" s="50" t="s">
        <v>677</v>
      </c>
      <c r="B355" s="36">
        <v>2620</v>
      </c>
      <c r="C355" s="34"/>
    </row>
    <row r="356" spans="1:3" s="25" customFormat="1" ht="16.5" customHeight="1">
      <c r="A356" s="50" t="s">
        <v>678</v>
      </c>
      <c r="B356" s="36">
        <v>80</v>
      </c>
      <c r="C356" s="34"/>
    </row>
    <row r="357" spans="1:3" s="25" customFormat="1" ht="16.5" customHeight="1">
      <c r="A357" s="50" t="s">
        <v>1100</v>
      </c>
      <c r="B357" s="36">
        <v>80</v>
      </c>
      <c r="C357" s="34"/>
    </row>
    <row r="358" spans="1:3" s="25" customFormat="1" ht="16.5" customHeight="1">
      <c r="A358" s="49" t="s">
        <v>681</v>
      </c>
      <c r="B358" s="36">
        <v>152</v>
      </c>
      <c r="C358" s="34"/>
    </row>
    <row r="359" spans="1:3" s="25" customFormat="1" ht="16.5" customHeight="1">
      <c r="A359" s="50" t="s">
        <v>682</v>
      </c>
      <c r="B359" s="36">
        <v>152</v>
      </c>
      <c r="C359" s="34"/>
    </row>
    <row r="360" spans="1:3" s="25" customFormat="1" ht="16.5" customHeight="1">
      <c r="A360" s="49" t="s">
        <v>1101</v>
      </c>
      <c r="B360" s="36">
        <v>84</v>
      </c>
      <c r="C360" s="34"/>
    </row>
    <row r="361" spans="1:3" s="25" customFormat="1" ht="16.5" customHeight="1">
      <c r="A361" s="50" t="s">
        <v>1102</v>
      </c>
      <c r="B361" s="36">
        <v>3172</v>
      </c>
      <c r="C361" s="34"/>
    </row>
    <row r="362" spans="1:3" s="25" customFormat="1" ht="16.5" customHeight="1">
      <c r="A362" s="50" t="s">
        <v>684</v>
      </c>
      <c r="B362" s="36">
        <v>845</v>
      </c>
      <c r="C362" s="34"/>
    </row>
    <row r="363" spans="1:3" s="25" customFormat="1" ht="16.5" customHeight="1">
      <c r="A363" s="49" t="s">
        <v>397</v>
      </c>
      <c r="B363" s="36">
        <v>510</v>
      </c>
      <c r="C363" s="34"/>
    </row>
    <row r="364" spans="1:3" s="25" customFormat="1" ht="16.5" customHeight="1">
      <c r="A364" s="49" t="s">
        <v>398</v>
      </c>
      <c r="B364" s="36">
        <v>256</v>
      </c>
      <c r="C364" s="34"/>
    </row>
    <row r="365" spans="1:3" s="25" customFormat="1" ht="16.5" customHeight="1">
      <c r="A365" s="50" t="s">
        <v>687</v>
      </c>
      <c r="B365" s="36">
        <v>79</v>
      </c>
      <c r="C365" s="34"/>
    </row>
    <row r="366" spans="1:3" s="25" customFormat="1" ht="16.5" customHeight="1">
      <c r="A366" s="50" t="s">
        <v>690</v>
      </c>
      <c r="B366" s="36">
        <v>600</v>
      </c>
      <c r="C366" s="34"/>
    </row>
    <row r="367" spans="1:3" s="25" customFormat="1" ht="16.5" customHeight="1">
      <c r="A367" s="50" t="s">
        <v>691</v>
      </c>
      <c r="B367" s="36">
        <v>600</v>
      </c>
      <c r="C367" s="34"/>
    </row>
    <row r="368" spans="1:3" s="25" customFormat="1" ht="16.5" customHeight="1">
      <c r="A368" s="50" t="s">
        <v>1103</v>
      </c>
      <c r="B368" s="36">
        <v>1100</v>
      </c>
      <c r="C368" s="34"/>
    </row>
    <row r="369" spans="1:3" s="25" customFormat="1" ht="16.5" customHeight="1">
      <c r="A369" s="50" t="s">
        <v>696</v>
      </c>
      <c r="B369" s="36">
        <v>577</v>
      </c>
      <c r="C369" s="34"/>
    </row>
    <row r="370" spans="1:3" s="25" customFormat="1" ht="16.5" customHeight="1">
      <c r="A370" s="50" t="s">
        <v>1104</v>
      </c>
      <c r="B370" s="36">
        <v>577</v>
      </c>
      <c r="C370" s="34"/>
    </row>
    <row r="371" spans="1:3" s="25" customFormat="1" ht="16.5" customHeight="1">
      <c r="A371" s="50" t="s">
        <v>1105</v>
      </c>
      <c r="B371" s="36">
        <v>50</v>
      </c>
      <c r="C371" s="34"/>
    </row>
    <row r="372" spans="1:3" s="25" customFormat="1" ht="16.5" customHeight="1">
      <c r="A372" s="50" t="s">
        <v>1106</v>
      </c>
      <c r="B372" s="36">
        <v>6882</v>
      </c>
      <c r="C372" s="34"/>
    </row>
    <row r="373" spans="1:3" s="25" customFormat="1" ht="16.5" customHeight="1">
      <c r="A373" s="50" t="s">
        <v>1107</v>
      </c>
      <c r="B373" s="36">
        <v>4127</v>
      </c>
      <c r="C373" s="34"/>
    </row>
    <row r="374" spans="1:3" s="25" customFormat="1" ht="16.5" customHeight="1">
      <c r="A374" s="50" t="s">
        <v>1108</v>
      </c>
      <c r="B374" s="36">
        <v>419</v>
      </c>
      <c r="C374" s="34"/>
    </row>
    <row r="375" spans="1:3" s="25" customFormat="1" ht="16.5" customHeight="1">
      <c r="A375" s="52" t="s">
        <v>1109</v>
      </c>
      <c r="B375" s="41">
        <v>258</v>
      </c>
      <c r="C375" s="34"/>
    </row>
    <row r="376" spans="1:3" s="25" customFormat="1" ht="16.5" customHeight="1">
      <c r="A376" s="54" t="s">
        <v>1110</v>
      </c>
      <c r="B376" s="33">
        <v>689</v>
      </c>
      <c r="C376" s="34"/>
    </row>
    <row r="377" spans="1:3" s="25" customFormat="1" ht="16.5" customHeight="1">
      <c r="A377" s="50" t="s">
        <v>1111</v>
      </c>
      <c r="B377" s="36">
        <v>90</v>
      </c>
      <c r="C377" s="34"/>
    </row>
    <row r="378" spans="1:3" s="25" customFormat="1" ht="16.5" customHeight="1">
      <c r="A378" s="49" t="s">
        <v>1112</v>
      </c>
      <c r="B378" s="36">
        <v>632</v>
      </c>
      <c r="C378" s="34"/>
    </row>
    <row r="379" spans="1:3" s="25" customFormat="1" ht="16.5" customHeight="1">
      <c r="A379" s="50" t="s">
        <v>1113</v>
      </c>
      <c r="B379" s="36">
        <v>258</v>
      </c>
      <c r="C379" s="34"/>
    </row>
    <row r="380" spans="1:3" s="25" customFormat="1" ht="16.5" customHeight="1">
      <c r="A380" s="49" t="s">
        <v>1114</v>
      </c>
      <c r="B380" s="36">
        <v>901</v>
      </c>
      <c r="C380" s="34"/>
    </row>
    <row r="381" spans="1:3" s="25" customFormat="1" ht="16.5" customHeight="1">
      <c r="A381" s="50" t="s">
        <v>1115</v>
      </c>
      <c r="B381" s="36">
        <v>880</v>
      </c>
      <c r="C381" s="34"/>
    </row>
    <row r="382" spans="1:3" s="25" customFormat="1" ht="16.5" customHeight="1">
      <c r="A382" s="49" t="s">
        <v>1116</v>
      </c>
      <c r="B382" s="36">
        <v>770</v>
      </c>
      <c r="C382" s="34"/>
    </row>
    <row r="383" spans="1:3" s="25" customFormat="1" ht="16.5" customHeight="1">
      <c r="A383" s="50" t="s">
        <v>1117</v>
      </c>
      <c r="B383" s="36">
        <v>4</v>
      </c>
      <c r="C383" s="34"/>
    </row>
    <row r="384" spans="1:3" s="25" customFormat="1" ht="16.5" customHeight="1">
      <c r="A384" s="50" t="s">
        <v>1118</v>
      </c>
      <c r="B384" s="36">
        <v>4</v>
      </c>
      <c r="C384" s="34"/>
    </row>
    <row r="385" spans="1:3" s="25" customFormat="1" ht="16.5" customHeight="1">
      <c r="A385" s="50" t="s">
        <v>1119</v>
      </c>
      <c r="B385" s="36">
        <v>331</v>
      </c>
      <c r="C385" s="34"/>
    </row>
    <row r="386" spans="1:3" s="25" customFormat="1" ht="16.5" customHeight="1">
      <c r="A386" s="50" t="s">
        <v>1120</v>
      </c>
      <c r="B386" s="36">
        <v>1650</v>
      </c>
      <c r="C386" s="34"/>
    </row>
    <row r="387" spans="1:3" s="25" customFormat="1" ht="16.5" customHeight="1">
      <c r="A387" s="50" t="s">
        <v>1121</v>
      </c>
      <c r="B387" s="36">
        <v>11619</v>
      </c>
      <c r="C387" s="34"/>
    </row>
    <row r="388" spans="1:3" s="25" customFormat="1" ht="16.5" customHeight="1">
      <c r="A388" s="50" t="s">
        <v>1122</v>
      </c>
      <c r="B388" s="36">
        <v>3928</v>
      </c>
      <c r="C388" s="34"/>
    </row>
    <row r="389" spans="1:3" s="25" customFormat="1" ht="16.5" customHeight="1">
      <c r="A389" s="50" t="s">
        <v>1108</v>
      </c>
      <c r="B389" s="36">
        <v>763</v>
      </c>
      <c r="C389" s="34"/>
    </row>
    <row r="390" spans="1:3" s="25" customFormat="1" ht="16.5" customHeight="1">
      <c r="A390" s="50" t="s">
        <v>1109</v>
      </c>
      <c r="B390" s="36">
        <v>256</v>
      </c>
      <c r="C390" s="34"/>
    </row>
    <row r="391" spans="1:3" s="25" customFormat="1" ht="16.5" customHeight="1">
      <c r="A391" s="50" t="s">
        <v>1123</v>
      </c>
      <c r="B391" s="36">
        <v>2165</v>
      </c>
      <c r="C391" s="34"/>
    </row>
    <row r="392" spans="1:3" s="25" customFormat="1" ht="16.5" customHeight="1">
      <c r="A392" s="50" t="s">
        <v>1124</v>
      </c>
      <c r="B392" s="36">
        <v>400</v>
      </c>
      <c r="C392" s="34"/>
    </row>
    <row r="393" spans="1:3" s="25" customFormat="1" ht="16.5" customHeight="1">
      <c r="A393" s="50" t="s">
        <v>1125</v>
      </c>
      <c r="B393" s="36">
        <v>105</v>
      </c>
      <c r="C393" s="34"/>
    </row>
    <row r="394" spans="1:3" s="25" customFormat="1" ht="16.5" customHeight="1">
      <c r="A394" s="50" t="s">
        <v>1126</v>
      </c>
      <c r="B394" s="36">
        <v>5</v>
      </c>
      <c r="C394" s="34"/>
    </row>
    <row r="395" spans="1:3" s="25" customFormat="1" ht="16.5" customHeight="1">
      <c r="A395" s="49" t="s">
        <v>1127</v>
      </c>
      <c r="B395" s="36">
        <v>150</v>
      </c>
      <c r="C395" s="34"/>
    </row>
    <row r="396" spans="1:3" s="25" customFormat="1" ht="16.5" customHeight="1">
      <c r="A396" s="49" t="s">
        <v>1128</v>
      </c>
      <c r="B396" s="36">
        <v>84</v>
      </c>
      <c r="C396" s="34"/>
    </row>
    <row r="397" spans="1:3" s="25" customFormat="1" ht="16.5" customHeight="1">
      <c r="A397" s="49" t="s">
        <v>1129</v>
      </c>
      <c r="B397" s="36">
        <v>1170</v>
      </c>
      <c r="C397" s="34"/>
    </row>
    <row r="398" spans="1:3" s="25" customFormat="1" ht="16.5" customHeight="1">
      <c r="A398" s="49" t="s">
        <v>1108</v>
      </c>
      <c r="B398" s="36">
        <v>165</v>
      </c>
      <c r="C398" s="34"/>
    </row>
    <row r="399" spans="1:3" s="25" customFormat="1" ht="16.5" customHeight="1">
      <c r="A399" s="50" t="s">
        <v>1109</v>
      </c>
      <c r="B399" s="36">
        <v>53</v>
      </c>
      <c r="C399" s="34"/>
    </row>
    <row r="400" spans="1:3" s="25" customFormat="1" ht="16.5" customHeight="1">
      <c r="A400" s="50" t="s">
        <v>1130</v>
      </c>
      <c r="B400" s="36">
        <v>378</v>
      </c>
      <c r="C400" s="34"/>
    </row>
    <row r="401" spans="1:3" s="25" customFormat="1" ht="16.5" customHeight="1">
      <c r="A401" s="50" t="s">
        <v>1131</v>
      </c>
      <c r="B401" s="36">
        <v>400</v>
      </c>
      <c r="C401" s="34"/>
    </row>
    <row r="402" spans="1:3" s="25" customFormat="1" ht="16.5" customHeight="1">
      <c r="A402" s="49" t="s">
        <v>1132</v>
      </c>
      <c r="B402" s="36">
        <v>20</v>
      </c>
      <c r="C402" s="34"/>
    </row>
    <row r="403" spans="1:3" s="25" customFormat="1" ht="16.5" customHeight="1">
      <c r="A403" s="49" t="s">
        <v>1133</v>
      </c>
      <c r="B403" s="36">
        <v>14</v>
      </c>
      <c r="C403" s="34"/>
    </row>
    <row r="404" spans="1:3" s="25" customFormat="1" ht="16.5" customHeight="1">
      <c r="A404" s="49" t="s">
        <v>1134</v>
      </c>
      <c r="B404" s="36">
        <v>140</v>
      </c>
      <c r="C404" s="34"/>
    </row>
    <row r="405" spans="1:3" s="25" customFormat="1" ht="16.5" customHeight="1">
      <c r="A405" s="49" t="s">
        <v>1135</v>
      </c>
      <c r="B405" s="36">
        <v>6033</v>
      </c>
      <c r="C405" s="34"/>
    </row>
    <row r="406" spans="1:3" s="25" customFormat="1" ht="16.5" customHeight="1">
      <c r="A406" s="49" t="s">
        <v>1108</v>
      </c>
      <c r="B406" s="36">
        <v>824</v>
      </c>
      <c r="C406" s="34"/>
    </row>
    <row r="407" spans="1:3" s="25" customFormat="1" ht="16.5" customHeight="1">
      <c r="A407" s="50" t="s">
        <v>1109</v>
      </c>
      <c r="B407" s="36">
        <v>218</v>
      </c>
      <c r="C407" s="34"/>
    </row>
    <row r="408" spans="1:3" s="25" customFormat="1" ht="16.5" customHeight="1">
      <c r="A408" s="50" t="s">
        <v>1136</v>
      </c>
      <c r="B408" s="36">
        <v>2466</v>
      </c>
      <c r="C408" s="34"/>
    </row>
    <row r="409" spans="1:3" s="25" customFormat="1" ht="16.5" customHeight="1">
      <c r="A409" s="50" t="s">
        <v>1137</v>
      </c>
      <c r="B409" s="36">
        <v>1765</v>
      </c>
      <c r="C409" s="34"/>
    </row>
    <row r="410" spans="1:3" s="25" customFormat="1" ht="16.5" customHeight="1">
      <c r="A410" s="50" t="s">
        <v>1138</v>
      </c>
      <c r="B410" s="36">
        <v>45</v>
      </c>
      <c r="C410" s="34"/>
    </row>
    <row r="411" spans="1:3" s="25" customFormat="1" ht="16.5" customHeight="1">
      <c r="A411" s="49" t="s">
        <v>1139</v>
      </c>
      <c r="B411" s="36">
        <v>476</v>
      </c>
      <c r="C411" s="34"/>
    </row>
    <row r="412" spans="1:3" s="25" customFormat="1" ht="16.5" customHeight="1">
      <c r="A412" s="55" t="s">
        <v>1140</v>
      </c>
      <c r="B412" s="41">
        <v>25</v>
      </c>
      <c r="C412" s="34"/>
    </row>
    <row r="413" spans="1:3" s="25" customFormat="1" ht="16.5" customHeight="1">
      <c r="A413" s="53" t="s">
        <v>1141</v>
      </c>
      <c r="B413" s="33">
        <v>10</v>
      </c>
      <c r="C413" s="34"/>
    </row>
    <row r="414" spans="1:3" s="25" customFormat="1" ht="16.5" customHeight="1">
      <c r="A414" s="50" t="s">
        <v>1142</v>
      </c>
      <c r="B414" s="36">
        <v>98</v>
      </c>
      <c r="C414" s="34"/>
    </row>
    <row r="415" spans="1:3" s="25" customFormat="1" ht="16.5" customHeight="1">
      <c r="A415" s="49" t="s">
        <v>1143</v>
      </c>
      <c r="B415" s="36">
        <v>106</v>
      </c>
      <c r="C415" s="34"/>
    </row>
    <row r="416" spans="1:3" s="25" customFormat="1" ht="16.5" customHeight="1">
      <c r="A416" s="49" t="s">
        <v>1144</v>
      </c>
      <c r="B416" s="36">
        <v>6</v>
      </c>
      <c r="C416" s="34"/>
    </row>
    <row r="417" spans="1:3" s="25" customFormat="1" ht="16.5" customHeight="1">
      <c r="A417" s="49" t="s">
        <v>1109</v>
      </c>
      <c r="B417" s="36">
        <v>6</v>
      </c>
      <c r="C417" s="34"/>
    </row>
    <row r="418" spans="1:3" s="25" customFormat="1" ht="16.5" customHeight="1">
      <c r="A418" s="49" t="s">
        <v>1145</v>
      </c>
      <c r="B418" s="36">
        <v>137</v>
      </c>
      <c r="C418" s="34"/>
    </row>
    <row r="419" spans="1:3" s="25" customFormat="1" ht="16.5" customHeight="1">
      <c r="A419" s="50" t="s">
        <v>1108</v>
      </c>
      <c r="B419" s="36">
        <v>117</v>
      </c>
      <c r="C419" s="34"/>
    </row>
    <row r="420" spans="1:3" s="25" customFormat="1" ht="16.5" customHeight="1">
      <c r="A420" s="50" t="s">
        <v>1109</v>
      </c>
      <c r="B420" s="36">
        <v>20</v>
      </c>
      <c r="C420" s="34"/>
    </row>
    <row r="421" spans="1:3" s="25" customFormat="1" ht="16.5" customHeight="1">
      <c r="A421" s="50" t="s">
        <v>1146</v>
      </c>
      <c r="B421" s="36">
        <v>214</v>
      </c>
      <c r="C421" s="34"/>
    </row>
    <row r="422" spans="1:3" s="25" customFormat="1" ht="16.5" customHeight="1">
      <c r="A422" s="50" t="s">
        <v>1147</v>
      </c>
      <c r="B422" s="36">
        <v>214</v>
      </c>
      <c r="C422" s="34"/>
    </row>
    <row r="423" spans="1:3" s="25" customFormat="1" ht="16.5" customHeight="1">
      <c r="A423" s="50" t="s">
        <v>1148</v>
      </c>
      <c r="B423" s="36">
        <v>131</v>
      </c>
      <c r="C423" s="34"/>
    </row>
    <row r="424" spans="1:3" s="25" customFormat="1" ht="16.5" customHeight="1">
      <c r="A424" s="50" t="s">
        <v>1149</v>
      </c>
      <c r="B424" s="36">
        <v>131</v>
      </c>
      <c r="C424" s="34"/>
    </row>
    <row r="425" spans="1:3" s="25" customFormat="1" ht="16.5" customHeight="1">
      <c r="A425" s="49" t="s">
        <v>1150</v>
      </c>
      <c r="B425" s="36">
        <v>23610</v>
      </c>
      <c r="C425" s="34"/>
    </row>
    <row r="426" spans="1:3" s="25" customFormat="1" ht="16.5" customHeight="1">
      <c r="A426" s="50" t="s">
        <v>1151</v>
      </c>
      <c r="B426" s="36">
        <v>23137</v>
      </c>
      <c r="C426" s="34"/>
    </row>
    <row r="427" spans="1:3" s="25" customFormat="1" ht="16.5" customHeight="1">
      <c r="A427" s="50" t="s">
        <v>1108</v>
      </c>
      <c r="B427" s="36">
        <v>304</v>
      </c>
      <c r="C427" s="34"/>
    </row>
    <row r="428" spans="1:3" s="25" customFormat="1" ht="16.5" customHeight="1">
      <c r="A428" s="49" t="s">
        <v>1109</v>
      </c>
      <c r="B428" s="36">
        <v>529</v>
      </c>
      <c r="C428" s="34"/>
    </row>
    <row r="429" spans="1:3" s="25" customFormat="1" ht="16.5" customHeight="1">
      <c r="A429" s="50" t="s">
        <v>1152</v>
      </c>
      <c r="B429" s="36">
        <v>200</v>
      </c>
      <c r="C429" s="34"/>
    </row>
    <row r="430" spans="1:3" s="25" customFormat="1" ht="16.5" customHeight="1">
      <c r="A430" s="50" t="s">
        <v>1153</v>
      </c>
      <c r="B430" s="36">
        <v>8810</v>
      </c>
      <c r="C430" s="34"/>
    </row>
    <row r="431" spans="1:3" s="25" customFormat="1" ht="16.5" customHeight="1">
      <c r="A431" s="50" t="s">
        <v>1154</v>
      </c>
      <c r="B431" s="36">
        <v>55</v>
      </c>
      <c r="C431" s="34"/>
    </row>
    <row r="432" spans="1:3" s="25" customFormat="1" ht="16.5" customHeight="1">
      <c r="A432" s="50" t="s">
        <v>1155</v>
      </c>
      <c r="B432" s="36">
        <v>3984</v>
      </c>
      <c r="C432" s="34"/>
    </row>
    <row r="433" spans="1:3" s="25" customFormat="1" ht="16.5" customHeight="1">
      <c r="A433" s="50" t="s">
        <v>1156</v>
      </c>
      <c r="B433" s="36">
        <v>9255</v>
      </c>
      <c r="C433" s="34"/>
    </row>
    <row r="434" spans="1:3" s="25" customFormat="1" ht="16.5" customHeight="1">
      <c r="A434" s="50" t="s">
        <v>1157</v>
      </c>
      <c r="B434" s="36">
        <v>173</v>
      </c>
      <c r="C434" s="34"/>
    </row>
    <row r="435" spans="1:3" s="25" customFormat="1" ht="16.5" customHeight="1">
      <c r="A435" s="50" t="s">
        <v>1158</v>
      </c>
      <c r="B435" s="36">
        <v>173</v>
      </c>
      <c r="C435" s="34"/>
    </row>
    <row r="436" spans="1:3" s="25" customFormat="1" ht="16.5" customHeight="1">
      <c r="A436" s="50" t="s">
        <v>1159</v>
      </c>
      <c r="B436" s="36">
        <v>300</v>
      </c>
      <c r="C436" s="34"/>
    </row>
    <row r="437" spans="1:3" s="25" customFormat="1" ht="16.5" customHeight="1">
      <c r="A437" s="50" t="s">
        <v>1160</v>
      </c>
      <c r="B437" s="36">
        <v>300</v>
      </c>
      <c r="C437" s="34"/>
    </row>
    <row r="438" spans="1:3" s="25" customFormat="1" ht="16.5" customHeight="1">
      <c r="A438" s="50" t="s">
        <v>1161</v>
      </c>
      <c r="B438" s="36">
        <v>7680</v>
      </c>
      <c r="C438" s="34"/>
    </row>
    <row r="439" spans="1:3" s="25" customFormat="1" ht="16.5" customHeight="1">
      <c r="A439" s="50" t="s">
        <v>1162</v>
      </c>
      <c r="B439" s="36">
        <v>423</v>
      </c>
      <c r="C439" s="34"/>
    </row>
    <row r="440" spans="1:3" s="25" customFormat="1" ht="16.5" customHeight="1">
      <c r="A440" s="50" t="s">
        <v>1108</v>
      </c>
      <c r="B440" s="36">
        <v>360</v>
      </c>
      <c r="C440" s="34"/>
    </row>
    <row r="441" spans="1:3" s="25" customFormat="1" ht="16.5" customHeight="1">
      <c r="A441" s="50" t="s">
        <v>1109</v>
      </c>
      <c r="B441" s="36">
        <v>63</v>
      </c>
      <c r="C441" s="34"/>
    </row>
    <row r="442" spans="1:3" s="25" customFormat="1" ht="16.5" customHeight="1">
      <c r="A442" s="50" t="s">
        <v>1163</v>
      </c>
      <c r="B442" s="36">
        <v>836</v>
      </c>
      <c r="C442" s="34"/>
    </row>
    <row r="443" spans="1:3" s="25" customFormat="1" ht="16.5" customHeight="1">
      <c r="A443" s="50" t="s">
        <v>1108</v>
      </c>
      <c r="B443" s="36">
        <v>276</v>
      </c>
      <c r="C443" s="34"/>
    </row>
    <row r="444" spans="1:3" s="25" customFormat="1" ht="16.5" customHeight="1">
      <c r="A444" s="50" t="s">
        <v>1109</v>
      </c>
      <c r="B444" s="36">
        <v>10</v>
      </c>
      <c r="C444" s="34"/>
    </row>
    <row r="445" spans="1:3" s="25" customFormat="1" ht="16.5" customHeight="1">
      <c r="A445" s="50" t="s">
        <v>1164</v>
      </c>
      <c r="B445" s="36">
        <v>550</v>
      </c>
      <c r="C445" s="34"/>
    </row>
    <row r="446" spans="1:3" s="25" customFormat="1" ht="16.5" customHeight="1">
      <c r="A446" s="50" t="s">
        <v>1165</v>
      </c>
      <c r="B446" s="36">
        <v>3410</v>
      </c>
      <c r="C446" s="34"/>
    </row>
    <row r="447" spans="1:3" s="25" customFormat="1" ht="16.5" customHeight="1">
      <c r="A447" s="50" t="s">
        <v>1108</v>
      </c>
      <c r="B447" s="36">
        <v>1201</v>
      </c>
      <c r="C447" s="34"/>
    </row>
    <row r="448" spans="1:3" s="25" customFormat="1" ht="16.5" customHeight="1">
      <c r="A448" s="50" t="s">
        <v>1109</v>
      </c>
      <c r="B448" s="36">
        <v>1154</v>
      </c>
      <c r="C448" s="34"/>
    </row>
    <row r="449" spans="1:3" s="25" customFormat="1" ht="16.5" customHeight="1">
      <c r="A449" s="55" t="s">
        <v>1166</v>
      </c>
      <c r="B449" s="41">
        <v>1000</v>
      </c>
      <c r="C449" s="34"/>
    </row>
    <row r="450" spans="1:3" s="25" customFormat="1" ht="16.5" customHeight="1">
      <c r="A450" s="54" t="s">
        <v>1167</v>
      </c>
      <c r="B450" s="33">
        <v>55</v>
      </c>
      <c r="C450" s="34"/>
    </row>
    <row r="451" spans="1:3" s="25" customFormat="1" ht="16.5" customHeight="1">
      <c r="A451" s="50" t="s">
        <v>1168</v>
      </c>
      <c r="B451" s="36">
        <v>1899</v>
      </c>
      <c r="C451" s="34"/>
    </row>
    <row r="452" spans="1:3" s="25" customFormat="1" ht="16.5" customHeight="1">
      <c r="A452" s="50" t="s">
        <v>1108</v>
      </c>
      <c r="B452" s="36">
        <v>348</v>
      </c>
      <c r="C452" s="34"/>
    </row>
    <row r="453" spans="1:3" s="25" customFormat="1" ht="16.5" customHeight="1">
      <c r="A453" s="50" t="s">
        <v>1109</v>
      </c>
      <c r="B453" s="36">
        <v>27</v>
      </c>
      <c r="C453" s="34"/>
    </row>
    <row r="454" spans="1:3" s="25" customFormat="1" ht="16.5" customHeight="1">
      <c r="A454" s="49" t="s">
        <v>1169</v>
      </c>
      <c r="B454" s="36">
        <v>1460</v>
      </c>
      <c r="C454" s="34"/>
    </row>
    <row r="455" spans="1:3" s="25" customFormat="1" ht="16.5" customHeight="1">
      <c r="A455" s="49" t="s">
        <v>1170</v>
      </c>
      <c r="B455" s="36">
        <v>64</v>
      </c>
      <c r="C455" s="34"/>
    </row>
    <row r="456" spans="1:3" s="25" customFormat="1" ht="16.5" customHeight="1">
      <c r="A456" s="49" t="s">
        <v>1171</v>
      </c>
      <c r="B456" s="36">
        <v>338</v>
      </c>
      <c r="C456" s="34"/>
    </row>
    <row r="457" spans="1:3" s="25" customFormat="1" ht="16.5" customHeight="1">
      <c r="A457" s="50" t="s">
        <v>1108</v>
      </c>
      <c r="B457" s="36">
        <v>190</v>
      </c>
      <c r="C457" s="34"/>
    </row>
    <row r="458" spans="1:3" s="25" customFormat="1" ht="16.5" customHeight="1">
      <c r="A458" s="50" t="s">
        <v>1109</v>
      </c>
      <c r="B458" s="36">
        <v>75</v>
      </c>
      <c r="C458" s="34"/>
    </row>
    <row r="459" spans="1:3" s="25" customFormat="1" ht="16.5" customHeight="1">
      <c r="A459" s="50" t="s">
        <v>1172</v>
      </c>
      <c r="B459" s="36">
        <v>3</v>
      </c>
      <c r="C459" s="34"/>
    </row>
    <row r="460" spans="1:3" s="25" customFormat="1" ht="16.5" customHeight="1">
      <c r="A460" s="50" t="s">
        <v>1173</v>
      </c>
      <c r="B460" s="36">
        <v>70</v>
      </c>
      <c r="C460" s="34"/>
    </row>
    <row r="461" spans="1:3" s="25" customFormat="1" ht="16.5" customHeight="1">
      <c r="A461" s="50" t="s">
        <v>1174</v>
      </c>
      <c r="B461" s="36">
        <v>741</v>
      </c>
      <c r="C461" s="34"/>
    </row>
    <row r="462" spans="1:3" s="25" customFormat="1" ht="16.5" customHeight="1">
      <c r="A462" s="50" t="s">
        <v>1108</v>
      </c>
      <c r="B462" s="36">
        <v>193</v>
      </c>
      <c r="C462" s="34"/>
    </row>
    <row r="463" spans="1:3" s="25" customFormat="1" ht="16.5" customHeight="1">
      <c r="A463" s="50" t="s">
        <v>1109</v>
      </c>
      <c r="B463" s="36">
        <v>48</v>
      </c>
      <c r="C463" s="34"/>
    </row>
    <row r="464" spans="1:3" s="25" customFormat="1" ht="16.5" customHeight="1">
      <c r="A464" s="50" t="s">
        <v>1175</v>
      </c>
      <c r="B464" s="36">
        <v>500</v>
      </c>
      <c r="C464" s="34"/>
    </row>
    <row r="465" spans="1:3" s="25" customFormat="1" ht="16.5" customHeight="1">
      <c r="A465" s="50" t="s">
        <v>1176</v>
      </c>
      <c r="B465" s="36">
        <v>33</v>
      </c>
      <c r="C465" s="34"/>
    </row>
    <row r="466" spans="1:3" s="25" customFormat="1" ht="16.5" customHeight="1">
      <c r="A466" s="50" t="s">
        <v>1177</v>
      </c>
      <c r="B466" s="36">
        <v>33</v>
      </c>
      <c r="C466" s="34"/>
    </row>
    <row r="467" spans="1:3" s="25" customFormat="1" ht="16.5" customHeight="1">
      <c r="A467" s="49" t="s">
        <v>1178</v>
      </c>
      <c r="B467" s="36">
        <v>2017</v>
      </c>
      <c r="C467" s="34"/>
    </row>
    <row r="468" spans="1:3" s="25" customFormat="1" ht="16.5" customHeight="1">
      <c r="A468" s="50" t="s">
        <v>1179</v>
      </c>
      <c r="B468" s="36">
        <v>354</v>
      </c>
      <c r="C468" s="34"/>
    </row>
    <row r="469" spans="1:3" s="25" customFormat="1" ht="16.5" customHeight="1">
      <c r="A469" s="50" t="s">
        <v>1108</v>
      </c>
      <c r="B469" s="36">
        <v>337</v>
      </c>
      <c r="C469" s="34"/>
    </row>
    <row r="470" spans="1:3" s="25" customFormat="1" ht="16.5" customHeight="1">
      <c r="A470" s="50" t="s">
        <v>1109</v>
      </c>
      <c r="B470" s="36">
        <v>17</v>
      </c>
      <c r="C470" s="34"/>
    </row>
    <row r="471" spans="1:3" s="25" customFormat="1" ht="16.5" customHeight="1">
      <c r="A471" s="50" t="s">
        <v>1180</v>
      </c>
      <c r="B471" s="36">
        <v>1143</v>
      </c>
      <c r="C471" s="34"/>
    </row>
    <row r="472" spans="1:3" s="25" customFormat="1" ht="16.5" customHeight="1">
      <c r="A472" s="50" t="s">
        <v>1108</v>
      </c>
      <c r="B472" s="36">
        <v>318</v>
      </c>
      <c r="C472" s="34"/>
    </row>
    <row r="473" spans="1:3" s="25" customFormat="1" ht="16.5" customHeight="1">
      <c r="A473" s="50" t="s">
        <v>1109</v>
      </c>
      <c r="B473" s="36">
        <v>98</v>
      </c>
      <c r="C473" s="34"/>
    </row>
    <row r="474" spans="1:3" s="25" customFormat="1" ht="16.5" customHeight="1">
      <c r="A474" s="49" t="s">
        <v>1181</v>
      </c>
      <c r="B474" s="36">
        <v>500</v>
      </c>
      <c r="C474" s="34"/>
    </row>
    <row r="475" spans="1:3" s="25" customFormat="1" ht="16.5" customHeight="1">
      <c r="A475" s="49" t="s">
        <v>1182</v>
      </c>
      <c r="B475" s="36">
        <v>2</v>
      </c>
      <c r="C475" s="34"/>
    </row>
    <row r="476" spans="1:3" s="25" customFormat="1" ht="16.5" customHeight="1">
      <c r="A476" s="50" t="s">
        <v>1183</v>
      </c>
      <c r="B476" s="36">
        <v>225</v>
      </c>
      <c r="C476" s="34"/>
    </row>
    <row r="477" spans="1:3" s="25" customFormat="1" ht="16.5" customHeight="1">
      <c r="A477" s="50" t="s">
        <v>1184</v>
      </c>
      <c r="B477" s="36">
        <v>520</v>
      </c>
      <c r="C477" s="34"/>
    </row>
    <row r="478" spans="1:3" s="25" customFormat="1" ht="16.5" customHeight="1">
      <c r="A478" s="49" t="s">
        <v>1185</v>
      </c>
      <c r="B478" s="36">
        <v>520</v>
      </c>
      <c r="C478" s="34"/>
    </row>
    <row r="479" spans="1:3" s="25" customFormat="1" ht="16.5" customHeight="1">
      <c r="A479" s="50" t="s">
        <v>1186</v>
      </c>
      <c r="B479" s="36">
        <v>225</v>
      </c>
      <c r="C479" s="34"/>
    </row>
    <row r="480" spans="1:3" s="25" customFormat="1" ht="16.5" customHeight="1">
      <c r="A480" s="50" t="s">
        <v>1187</v>
      </c>
      <c r="B480" s="36">
        <v>225</v>
      </c>
      <c r="C480" s="34"/>
    </row>
    <row r="481" spans="1:3" s="25" customFormat="1" ht="16.5" customHeight="1">
      <c r="A481" s="50" t="s">
        <v>1188</v>
      </c>
      <c r="B481" s="36">
        <v>225</v>
      </c>
      <c r="C481" s="34"/>
    </row>
    <row r="482" spans="1:3" s="25" customFormat="1" ht="16.5" customHeight="1">
      <c r="A482" s="50" t="s">
        <v>1189</v>
      </c>
      <c r="B482" s="36">
        <v>1300</v>
      </c>
      <c r="C482" s="34"/>
    </row>
    <row r="483" spans="1:3" s="25" customFormat="1" ht="16.5" customHeight="1">
      <c r="A483" s="50" t="s">
        <v>318</v>
      </c>
      <c r="B483" s="36">
        <v>1300</v>
      </c>
      <c r="C483" s="34"/>
    </row>
    <row r="484" spans="1:3" s="25" customFormat="1" ht="16.5" customHeight="1">
      <c r="A484" s="49" t="s">
        <v>1190</v>
      </c>
      <c r="B484" s="36">
        <v>7839</v>
      </c>
      <c r="C484" s="34"/>
    </row>
    <row r="485" spans="1:3" s="25" customFormat="1" ht="16.5" customHeight="1">
      <c r="A485" s="50" t="s">
        <v>1191</v>
      </c>
      <c r="B485" s="36">
        <v>7388</v>
      </c>
      <c r="C485" s="34"/>
    </row>
    <row r="486" spans="1:3" s="25" customFormat="1" ht="16.5" customHeight="1">
      <c r="A486" s="55" t="s">
        <v>1108</v>
      </c>
      <c r="B486" s="41">
        <v>2170</v>
      </c>
      <c r="C486" s="34"/>
    </row>
    <row r="487" spans="1:3" s="25" customFormat="1" ht="16.5" customHeight="1">
      <c r="A487" s="49" t="s">
        <v>1172</v>
      </c>
      <c r="B487" s="33">
        <v>41</v>
      </c>
      <c r="C487" s="34"/>
    </row>
    <row r="488" spans="1:3" s="25" customFormat="1" ht="16.5" customHeight="1">
      <c r="A488" s="49" t="s">
        <v>1192</v>
      </c>
      <c r="B488" s="36">
        <v>400</v>
      </c>
      <c r="C488" s="34"/>
    </row>
    <row r="489" spans="1:3" s="25" customFormat="1" ht="16.5" customHeight="1">
      <c r="A489" s="49" t="s">
        <v>1193</v>
      </c>
      <c r="B489" s="36">
        <v>149</v>
      </c>
      <c r="C489" s="34"/>
    </row>
    <row r="490" spans="1:3" s="25" customFormat="1" ht="16.5" customHeight="1">
      <c r="A490" s="49" t="s">
        <v>1194</v>
      </c>
      <c r="B490" s="36">
        <v>10</v>
      </c>
      <c r="C490" s="34"/>
    </row>
    <row r="491" spans="1:3" s="25" customFormat="1" ht="16.5" customHeight="1">
      <c r="A491" s="49" t="s">
        <v>1123</v>
      </c>
      <c r="B491" s="36">
        <v>4618</v>
      </c>
      <c r="C491" s="34"/>
    </row>
    <row r="492" spans="1:3" s="25" customFormat="1" ht="16.5" customHeight="1">
      <c r="A492" s="50" t="s">
        <v>1195</v>
      </c>
      <c r="B492" s="36">
        <v>151</v>
      </c>
      <c r="C492" s="34"/>
    </row>
    <row r="493" spans="1:3" s="25" customFormat="1" ht="16.5" customHeight="1">
      <c r="A493" s="50" t="s">
        <v>1108</v>
      </c>
      <c r="B493" s="36">
        <v>127</v>
      </c>
      <c r="C493" s="34"/>
    </row>
    <row r="494" spans="1:3" s="25" customFormat="1" ht="16.5" customHeight="1">
      <c r="A494" s="50" t="s">
        <v>1196</v>
      </c>
      <c r="B494" s="36">
        <v>7</v>
      </c>
      <c r="C494" s="34"/>
    </row>
    <row r="495" spans="1:3" s="25" customFormat="1" ht="16.5" customHeight="1">
      <c r="A495" s="50" t="s">
        <v>1197</v>
      </c>
      <c r="B495" s="36">
        <v>8</v>
      </c>
      <c r="C495" s="34"/>
    </row>
    <row r="496" spans="1:3" s="25" customFormat="1" ht="16.5" customHeight="1">
      <c r="A496" s="50" t="s">
        <v>1198</v>
      </c>
      <c r="B496" s="36">
        <v>9</v>
      </c>
      <c r="C496" s="34"/>
    </row>
    <row r="497" spans="1:3" s="25" customFormat="1" ht="16.5" customHeight="1">
      <c r="A497" s="50" t="s">
        <v>1199</v>
      </c>
      <c r="B497" s="36">
        <v>300</v>
      </c>
      <c r="C497" s="34"/>
    </row>
    <row r="498" spans="1:3" s="25" customFormat="1" ht="16.5" customHeight="1">
      <c r="A498" s="49" t="s">
        <v>1200</v>
      </c>
      <c r="B498" s="36">
        <v>240</v>
      </c>
      <c r="C498" s="34"/>
    </row>
    <row r="499" spans="1:3" s="25" customFormat="1" ht="16.5" customHeight="1">
      <c r="A499" s="49" t="s">
        <v>1201</v>
      </c>
      <c r="B499" s="36">
        <v>60</v>
      </c>
      <c r="C499" s="34"/>
    </row>
    <row r="500" spans="1:3" s="25" customFormat="1" ht="16.5" customHeight="1">
      <c r="A500" s="50" t="s">
        <v>1202</v>
      </c>
      <c r="B500" s="36">
        <v>17807</v>
      </c>
      <c r="C500" s="34"/>
    </row>
    <row r="501" spans="1:3" s="25" customFormat="1" ht="16.5" customHeight="1">
      <c r="A501" s="49" t="s">
        <v>1203</v>
      </c>
      <c r="B501" s="36">
        <v>2000</v>
      </c>
      <c r="C501" s="34"/>
    </row>
    <row r="502" spans="1:3" s="25" customFormat="1" ht="16.5" customHeight="1">
      <c r="A502" s="49" t="s">
        <v>1204</v>
      </c>
      <c r="B502" s="36">
        <v>2000</v>
      </c>
      <c r="C502" s="34"/>
    </row>
    <row r="503" spans="1:3" s="25" customFormat="1" ht="16.5" customHeight="1">
      <c r="A503" s="49" t="s">
        <v>1205</v>
      </c>
      <c r="B503" s="36">
        <v>13230</v>
      </c>
      <c r="C503" s="34"/>
    </row>
    <row r="504" spans="1:3" s="25" customFormat="1" ht="16.5" customHeight="1">
      <c r="A504" s="49" t="s">
        <v>1206</v>
      </c>
      <c r="B504" s="36">
        <v>13230</v>
      </c>
      <c r="C504" s="34"/>
    </row>
    <row r="505" spans="1:3" s="25" customFormat="1" ht="16.5" customHeight="1">
      <c r="A505" s="50" t="s">
        <v>1207</v>
      </c>
      <c r="B505" s="36">
        <v>2577</v>
      </c>
      <c r="C505" s="34"/>
    </row>
    <row r="506" spans="1:3" s="25" customFormat="1" ht="16.5" customHeight="1">
      <c r="A506" s="49" t="s">
        <v>1208</v>
      </c>
      <c r="B506" s="36">
        <v>2577</v>
      </c>
      <c r="C506" s="34"/>
    </row>
    <row r="507" spans="1:3" s="25" customFormat="1" ht="16.5" customHeight="1">
      <c r="A507" s="49" t="s">
        <v>1209</v>
      </c>
      <c r="B507" s="36">
        <v>614</v>
      </c>
      <c r="C507" s="34"/>
    </row>
    <row r="508" spans="1:3" s="25" customFormat="1" ht="16.5" customHeight="1">
      <c r="A508" s="50" t="s">
        <v>1210</v>
      </c>
      <c r="B508" s="36">
        <v>614</v>
      </c>
      <c r="C508" s="34"/>
    </row>
    <row r="509" spans="1:3" s="25" customFormat="1" ht="16.5" customHeight="1">
      <c r="A509" s="49" t="s">
        <v>1108</v>
      </c>
      <c r="B509" s="36">
        <v>186</v>
      </c>
      <c r="C509" s="34"/>
    </row>
    <row r="510" spans="1:3" s="25" customFormat="1" ht="16.5" customHeight="1">
      <c r="A510" s="49" t="s">
        <v>1109</v>
      </c>
      <c r="B510" s="36">
        <v>35</v>
      </c>
      <c r="C510" s="34"/>
    </row>
    <row r="511" spans="1:3" s="25" customFormat="1" ht="16.5" customHeight="1">
      <c r="A511" s="51" t="s">
        <v>1123</v>
      </c>
      <c r="B511" s="56">
        <v>193</v>
      </c>
      <c r="C511" s="34"/>
    </row>
    <row r="512" spans="1:3" s="25" customFormat="1" ht="16.5" customHeight="1">
      <c r="A512" s="51" t="s">
        <v>1211</v>
      </c>
      <c r="B512" s="56">
        <v>200</v>
      </c>
      <c r="C512" s="34"/>
    </row>
    <row r="513" spans="1:2" s="25" customFormat="1" ht="16.5" customHeight="1">
      <c r="A513" s="51" t="s">
        <v>1212</v>
      </c>
      <c r="B513" s="56">
        <v>12000</v>
      </c>
    </row>
    <row r="514" spans="1:2" s="25" customFormat="1" ht="16.5" customHeight="1">
      <c r="A514" s="51" t="s">
        <v>1213</v>
      </c>
      <c r="B514" s="56">
        <v>14235</v>
      </c>
    </row>
    <row r="515" spans="1:2" s="25" customFormat="1" ht="16.5" customHeight="1">
      <c r="A515" s="51" t="s">
        <v>1214</v>
      </c>
      <c r="B515" s="56">
        <v>14235</v>
      </c>
    </row>
    <row r="516" spans="1:2" s="25" customFormat="1" ht="16.5" customHeight="1">
      <c r="A516" s="51" t="s">
        <v>1215</v>
      </c>
      <c r="B516" s="56">
        <v>14235</v>
      </c>
    </row>
    <row r="517" spans="1:2" s="25" customFormat="1" ht="16.5" customHeight="1">
      <c r="A517" s="51" t="s">
        <v>1216</v>
      </c>
      <c r="B517" s="56">
        <v>0</v>
      </c>
    </row>
    <row r="518" spans="1:2" s="25" customFormat="1" ht="16.5" customHeight="1">
      <c r="A518" s="51" t="s">
        <v>1217</v>
      </c>
      <c r="B518" s="56">
        <v>0</v>
      </c>
    </row>
    <row r="519" spans="1:2" s="25" customFormat="1" ht="16.5" customHeight="1">
      <c r="A519" s="51" t="s">
        <v>1218</v>
      </c>
      <c r="B519" s="56">
        <v>25625</v>
      </c>
    </row>
    <row r="520" spans="1:2" s="25" customFormat="1" ht="16.5" customHeight="1">
      <c r="A520" s="51" t="s">
        <v>1219</v>
      </c>
      <c r="B520" s="56">
        <v>25200</v>
      </c>
    </row>
    <row r="521" spans="1:2" s="25" customFormat="1" ht="14.25">
      <c r="A521" s="51" t="s">
        <v>1220</v>
      </c>
      <c r="B521" s="56">
        <v>425</v>
      </c>
    </row>
    <row r="522" spans="1:2" s="25" customFormat="1" ht="14.25">
      <c r="A522" s="38"/>
      <c r="B522" s="56"/>
    </row>
    <row r="523" spans="1:2" s="25" customFormat="1" ht="14.25">
      <c r="A523" s="57" t="s">
        <v>231</v>
      </c>
      <c r="B523" s="58">
        <f>396357+110+800</f>
        <v>397267</v>
      </c>
    </row>
    <row r="1275" ht="14.25">
      <c r="F1275" s="59"/>
    </row>
    <row r="1276" ht="14.25">
      <c r="F1276" s="60"/>
    </row>
  </sheetData>
  <sheetProtection/>
  <mergeCells count="1">
    <mergeCell ref="A2:C2"/>
  </mergeCells>
  <dataValidations count="1">
    <dataValidation type="whole" allowBlank="1" showInputMessage="1" showErrorMessage="1" error="不得保留小数" sqref="F1275:F1276">
      <formula1>-800000000000</formula1>
      <formula2>1000000000000</formula2>
    </dataValidation>
  </dataValidations>
  <printOptions horizontalCentered="1"/>
  <pageMargins left="0.75" right="0.75" top="0.75" bottom="0.9" header="0.51" footer="0.67"/>
  <pageSetup horizontalDpi="600" verticalDpi="600" orientation="portrait" paperSize="9"/>
  <rowBreaks count="4" manualBreakCount="4">
    <brk id="115" max="255" man="1"/>
    <brk id="153" max="255" man="1"/>
    <brk id="449" max="255" man="1"/>
    <brk id="486" max="255" man="1"/>
  </rowBreaks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workbookViewId="0" topLeftCell="A34">
      <selection activeCell="D53" sqref="D53"/>
    </sheetView>
  </sheetViews>
  <sheetFormatPr defaultColWidth="9.00390625" defaultRowHeight="14.25"/>
  <cols>
    <col min="1" max="1" width="27.375" style="1" customWidth="1"/>
    <col min="2" max="2" width="17.625" style="1" customWidth="1"/>
    <col min="3" max="3" width="16.50390625" style="1" customWidth="1"/>
    <col min="4" max="4" width="15.50390625" style="1" customWidth="1"/>
    <col min="5" max="16384" width="9.00390625" style="1" customWidth="1"/>
  </cols>
  <sheetData>
    <row r="1" spans="1:4" ht="14.25">
      <c r="A1" s="2" t="s">
        <v>392</v>
      </c>
      <c r="B1" s="3"/>
      <c r="C1" s="3"/>
      <c r="D1" s="3"/>
    </row>
    <row r="2" spans="1:4" ht="27" customHeight="1">
      <c r="A2" s="4" t="s">
        <v>1221</v>
      </c>
      <c r="B2" s="4"/>
      <c r="C2" s="4"/>
      <c r="D2" s="4"/>
    </row>
    <row r="3" spans="1:4" ht="14.25">
      <c r="A3" s="3"/>
      <c r="B3" s="3"/>
      <c r="C3" s="3"/>
      <c r="D3" s="5" t="s">
        <v>3</v>
      </c>
    </row>
    <row r="4" spans="1:4" ht="16.5" customHeight="1">
      <c r="A4" s="6" t="s">
        <v>1222</v>
      </c>
      <c r="B4" s="7" t="s">
        <v>896</v>
      </c>
      <c r="C4" s="6" t="s">
        <v>1223</v>
      </c>
      <c r="D4" s="7" t="s">
        <v>1224</v>
      </c>
    </row>
    <row r="5" spans="1:4" ht="16.5" customHeight="1">
      <c r="A5" s="8" t="s">
        <v>1225</v>
      </c>
      <c r="B5" s="9">
        <v>103271.28</v>
      </c>
      <c r="C5" s="10">
        <v>103271.28</v>
      </c>
      <c r="D5" s="11"/>
    </row>
    <row r="6" spans="1:4" ht="16.5" customHeight="1">
      <c r="A6" s="12" t="s">
        <v>1226</v>
      </c>
      <c r="B6" s="13">
        <v>52286.82</v>
      </c>
      <c r="C6" s="14">
        <v>52286.82</v>
      </c>
      <c r="D6" s="15"/>
    </row>
    <row r="7" spans="1:4" ht="16.5" customHeight="1">
      <c r="A7" s="12" t="s">
        <v>1227</v>
      </c>
      <c r="B7" s="13">
        <v>37090.94</v>
      </c>
      <c r="C7" s="14">
        <v>37090.94</v>
      </c>
      <c r="D7" s="15"/>
    </row>
    <row r="8" spans="1:4" ht="16.5" customHeight="1">
      <c r="A8" s="12" t="s">
        <v>1228</v>
      </c>
      <c r="B8" s="13">
        <v>5556.57</v>
      </c>
      <c r="C8" s="14">
        <v>5556.57</v>
      </c>
      <c r="D8" s="15"/>
    </row>
    <row r="9" spans="1:4" ht="16.5" customHeight="1">
      <c r="A9" s="12" t="s">
        <v>1229</v>
      </c>
      <c r="B9" s="13">
        <v>8336.95</v>
      </c>
      <c r="C9" s="14">
        <v>8336.95</v>
      </c>
      <c r="D9" s="15"/>
    </row>
    <row r="10" spans="1:4" ht="16.5" customHeight="1">
      <c r="A10" s="12" t="s">
        <v>1230</v>
      </c>
      <c r="B10" s="13">
        <f>54718.06+800</f>
        <v>55518.06</v>
      </c>
      <c r="C10" s="14">
        <v>8718.72</v>
      </c>
      <c r="D10" s="15">
        <f>45999.34+800</f>
        <v>46799.34</v>
      </c>
    </row>
    <row r="11" spans="1:4" ht="16.5" customHeight="1">
      <c r="A11" s="12" t="s">
        <v>1231</v>
      </c>
      <c r="B11" s="13">
        <v>18774.56</v>
      </c>
      <c r="C11" s="14">
        <v>6517.23</v>
      </c>
      <c r="D11" s="15">
        <v>12257.33</v>
      </c>
    </row>
    <row r="12" spans="1:4" ht="16.5" customHeight="1">
      <c r="A12" s="12" t="s">
        <v>1232</v>
      </c>
      <c r="B12" s="13">
        <v>1144.16</v>
      </c>
      <c r="C12" s="14">
        <v>242.1</v>
      </c>
      <c r="D12" s="15">
        <v>902.06</v>
      </c>
    </row>
    <row r="13" spans="1:4" ht="16.5" customHeight="1">
      <c r="A13" s="12" t="s">
        <v>1233</v>
      </c>
      <c r="B13" s="13">
        <f>655.79+800</f>
        <v>1455.79</v>
      </c>
      <c r="C13" s="14">
        <v>600.73</v>
      </c>
      <c r="D13" s="15">
        <f>800+55.06</f>
        <v>855.06</v>
      </c>
    </row>
    <row r="14" spans="1:4" ht="16.5" customHeight="1">
      <c r="A14" s="12" t="s">
        <v>1234</v>
      </c>
      <c r="B14" s="13">
        <v>578.08</v>
      </c>
      <c r="C14" s="14"/>
      <c r="D14" s="15">
        <v>578.08</v>
      </c>
    </row>
    <row r="15" spans="1:4" ht="16.5" customHeight="1">
      <c r="A15" s="12" t="s">
        <v>1235</v>
      </c>
      <c r="B15" s="13">
        <v>3464.62</v>
      </c>
      <c r="C15" s="14">
        <v>2.57</v>
      </c>
      <c r="D15" s="15">
        <v>3462.05</v>
      </c>
    </row>
    <row r="16" spans="1:4" ht="16.5" customHeight="1">
      <c r="A16" s="12" t="s">
        <v>1236</v>
      </c>
      <c r="B16" s="13">
        <v>313.35</v>
      </c>
      <c r="C16" s="14">
        <v>88.45</v>
      </c>
      <c r="D16" s="15">
        <v>224.9</v>
      </c>
    </row>
    <row r="17" spans="1:4" ht="16.5" customHeight="1">
      <c r="A17" s="12" t="s">
        <v>1237</v>
      </c>
      <c r="B17" s="13">
        <v>270</v>
      </c>
      <c r="C17" s="14"/>
      <c r="D17" s="15">
        <v>270</v>
      </c>
    </row>
    <row r="18" spans="1:4" ht="16.5" customHeight="1">
      <c r="A18" s="12" t="s">
        <v>1238</v>
      </c>
      <c r="B18" s="13">
        <v>1154</v>
      </c>
      <c r="C18" s="14">
        <v>1152</v>
      </c>
      <c r="D18" s="15">
        <v>2</v>
      </c>
    </row>
    <row r="19" spans="1:4" ht="16.5" customHeight="1">
      <c r="A19" s="12" t="s">
        <v>1239</v>
      </c>
      <c r="B19" s="13">
        <v>1354.17</v>
      </c>
      <c r="C19" s="14">
        <v>5.84</v>
      </c>
      <c r="D19" s="15">
        <v>1348.33</v>
      </c>
    </row>
    <row r="20" spans="1:4" ht="16.5" customHeight="1">
      <c r="A20" s="12" t="s">
        <v>1240</v>
      </c>
      <c r="B20" s="13">
        <v>27009.33</v>
      </c>
      <c r="C20" s="14">
        <v>109.8</v>
      </c>
      <c r="D20" s="15">
        <v>26899.53</v>
      </c>
    </row>
    <row r="21" spans="1:4" ht="16.5" customHeight="1">
      <c r="A21" s="12" t="s">
        <v>1241</v>
      </c>
      <c r="B21" s="13">
        <v>35218.15</v>
      </c>
      <c r="C21" s="14"/>
      <c r="D21" s="15">
        <v>35218.15</v>
      </c>
    </row>
    <row r="22" spans="1:4" ht="16.5" customHeight="1">
      <c r="A22" s="12" t="s">
        <v>1242</v>
      </c>
      <c r="B22" s="13">
        <v>7346</v>
      </c>
      <c r="C22" s="14"/>
      <c r="D22" s="15">
        <v>7346</v>
      </c>
    </row>
    <row r="23" spans="1:4" ht="16.5" customHeight="1">
      <c r="A23" s="12" t="s">
        <v>1243</v>
      </c>
      <c r="B23" s="13">
        <v>11955.5</v>
      </c>
      <c r="C23" s="14"/>
      <c r="D23" s="15">
        <v>11955.5</v>
      </c>
    </row>
    <row r="24" spans="1:4" ht="16.5" customHeight="1">
      <c r="A24" s="12" t="s">
        <v>1244</v>
      </c>
      <c r="B24" s="13">
        <v>166</v>
      </c>
      <c r="C24" s="14"/>
      <c r="D24" s="15">
        <v>166</v>
      </c>
    </row>
    <row r="25" spans="1:4" ht="16.5" customHeight="1">
      <c r="A25" s="12" t="s">
        <v>1245</v>
      </c>
      <c r="B25" s="13">
        <v>13024.8</v>
      </c>
      <c r="C25" s="14"/>
      <c r="D25" s="15">
        <v>13024.8</v>
      </c>
    </row>
    <row r="26" spans="1:4" ht="16.5" customHeight="1">
      <c r="A26" s="12" t="s">
        <v>1246</v>
      </c>
      <c r="B26" s="13">
        <v>156</v>
      </c>
      <c r="C26" s="14"/>
      <c r="D26" s="15">
        <v>156</v>
      </c>
    </row>
    <row r="27" spans="1:4" ht="16.5" customHeight="1">
      <c r="A27" s="12" t="s">
        <v>1247</v>
      </c>
      <c r="B27" s="13">
        <v>2569.85</v>
      </c>
      <c r="C27" s="14"/>
      <c r="D27" s="15">
        <v>2569.85</v>
      </c>
    </row>
    <row r="28" spans="1:4" ht="16.5" customHeight="1">
      <c r="A28" s="12" t="s">
        <v>1248</v>
      </c>
      <c r="B28" s="13">
        <f>SUM(C28:D28)</f>
        <v>114235.31</v>
      </c>
      <c r="C28" s="14">
        <v>103777.31</v>
      </c>
      <c r="D28" s="15">
        <v>10458</v>
      </c>
    </row>
    <row r="29" spans="1:4" ht="16.5" customHeight="1">
      <c r="A29" s="12" t="s">
        <v>1249</v>
      </c>
      <c r="B29" s="13">
        <f>SUM(C29:D29)</f>
        <v>96028.13</v>
      </c>
      <c r="C29" s="14">
        <v>96028.13</v>
      </c>
      <c r="D29" s="15"/>
    </row>
    <row r="30" spans="1:4" ht="16.5" customHeight="1">
      <c r="A30" s="12" t="s">
        <v>1250</v>
      </c>
      <c r="B30" s="13">
        <f>SUM(C30:D30)</f>
        <v>18207.18</v>
      </c>
      <c r="C30" s="14">
        <v>7749.18</v>
      </c>
      <c r="D30" s="15">
        <v>10458</v>
      </c>
    </row>
    <row r="31" spans="1:4" ht="16.5" customHeight="1">
      <c r="A31" s="12" t="s">
        <v>1251</v>
      </c>
      <c r="B31" s="13">
        <v>8716.78</v>
      </c>
      <c r="C31" s="14"/>
      <c r="D31" s="15">
        <v>8716.78</v>
      </c>
    </row>
    <row r="32" spans="1:4" ht="16.5" customHeight="1">
      <c r="A32" s="12" t="s">
        <v>1252</v>
      </c>
      <c r="B32" s="13">
        <v>8716.78</v>
      </c>
      <c r="C32" s="14"/>
      <c r="D32" s="15">
        <v>8716.78</v>
      </c>
    </row>
    <row r="33" spans="1:4" ht="16.5" customHeight="1">
      <c r="A33" s="12" t="s">
        <v>1253</v>
      </c>
      <c r="B33" s="13">
        <v>5990</v>
      </c>
      <c r="C33" s="14"/>
      <c r="D33" s="15">
        <v>5990</v>
      </c>
    </row>
    <row r="34" spans="1:4" ht="16.5" customHeight="1">
      <c r="A34" s="12" t="s">
        <v>1254</v>
      </c>
      <c r="B34" s="13">
        <v>5990</v>
      </c>
      <c r="C34" s="14"/>
      <c r="D34" s="15">
        <v>5990</v>
      </c>
    </row>
    <row r="35" spans="1:4" ht="16.5" customHeight="1">
      <c r="A35" s="12" t="s">
        <v>1255</v>
      </c>
      <c r="B35" s="13">
        <v>21399.62</v>
      </c>
      <c r="C35" s="14">
        <v>21399.62</v>
      </c>
      <c r="D35" s="15"/>
    </row>
    <row r="36" spans="1:4" ht="16.5" customHeight="1">
      <c r="A36" s="12" t="s">
        <v>1256</v>
      </c>
      <c r="B36" s="13">
        <v>6878.51</v>
      </c>
      <c r="C36" s="14">
        <v>6878.51</v>
      </c>
      <c r="D36" s="15"/>
    </row>
    <row r="37" spans="1:4" ht="16.5" customHeight="1">
      <c r="A37" s="12" t="s">
        <v>1257</v>
      </c>
      <c r="B37" s="13">
        <v>604</v>
      </c>
      <c r="C37" s="14">
        <v>604</v>
      </c>
      <c r="D37" s="15"/>
    </row>
    <row r="38" spans="1:4" ht="16.5" customHeight="1">
      <c r="A38" s="12" t="s">
        <v>1258</v>
      </c>
      <c r="B38" s="13">
        <v>12257.36</v>
      </c>
      <c r="C38" s="14">
        <v>12257.36</v>
      </c>
      <c r="D38" s="15"/>
    </row>
    <row r="39" spans="1:4" ht="16.5" customHeight="1">
      <c r="A39" s="16" t="s">
        <v>1259</v>
      </c>
      <c r="B39" s="17">
        <v>1659.75</v>
      </c>
      <c r="C39" s="18">
        <v>1659.75</v>
      </c>
      <c r="D39" s="19"/>
    </row>
    <row r="40" spans="1:4" ht="16.5" customHeight="1">
      <c r="A40" s="12" t="s">
        <v>1260</v>
      </c>
      <c r="B40" s="13">
        <v>14263</v>
      </c>
      <c r="C40" s="14"/>
      <c r="D40" s="15">
        <v>14263</v>
      </c>
    </row>
    <row r="41" spans="1:4" ht="16.5" customHeight="1">
      <c r="A41" s="12" t="s">
        <v>1261</v>
      </c>
      <c r="B41" s="13">
        <v>14247</v>
      </c>
      <c r="C41" s="14"/>
      <c r="D41" s="15">
        <v>14247</v>
      </c>
    </row>
    <row r="42" spans="1:4" ht="16.5" customHeight="1">
      <c r="A42" s="12" t="s">
        <v>1262</v>
      </c>
      <c r="B42" s="13">
        <v>16</v>
      </c>
      <c r="C42" s="14"/>
      <c r="D42" s="15">
        <v>16</v>
      </c>
    </row>
    <row r="43" spans="1:4" ht="16.5" customHeight="1">
      <c r="A43" s="12" t="s">
        <v>85</v>
      </c>
      <c r="B43" s="13">
        <v>150</v>
      </c>
      <c r="C43" s="14"/>
      <c r="D43" s="15">
        <v>150</v>
      </c>
    </row>
    <row r="44" spans="1:4" ht="16.5" customHeight="1">
      <c r="A44" s="12" t="s">
        <v>1263</v>
      </c>
      <c r="B44" s="13">
        <v>21</v>
      </c>
      <c r="C44" s="14"/>
      <c r="D44" s="15">
        <v>21</v>
      </c>
    </row>
    <row r="45" spans="1:4" ht="16.5" customHeight="1">
      <c r="A45" s="12" t="s">
        <v>1264</v>
      </c>
      <c r="B45" s="13">
        <v>129</v>
      </c>
      <c r="C45" s="14"/>
      <c r="D45" s="15">
        <v>129</v>
      </c>
    </row>
    <row r="46" spans="1:4" ht="16.5" customHeight="1">
      <c r="A46" s="12" t="s">
        <v>1265</v>
      </c>
      <c r="B46" s="13">
        <v>37000</v>
      </c>
      <c r="C46" s="14"/>
      <c r="D46" s="15">
        <v>37000</v>
      </c>
    </row>
    <row r="47" spans="1:4" ht="16.5" customHeight="1">
      <c r="A47" s="12" t="s">
        <v>1266</v>
      </c>
      <c r="B47" s="13">
        <v>12000</v>
      </c>
      <c r="C47" s="14"/>
      <c r="D47" s="15">
        <v>12000</v>
      </c>
    </row>
    <row r="48" spans="1:4" ht="16.5" customHeight="1">
      <c r="A48" s="12" t="s">
        <v>1267</v>
      </c>
      <c r="B48" s="13">
        <v>25000</v>
      </c>
      <c r="C48" s="14"/>
      <c r="D48" s="15">
        <v>25000</v>
      </c>
    </row>
    <row r="49" spans="1:4" ht="16.5" customHeight="1">
      <c r="A49" s="12" t="s">
        <v>265</v>
      </c>
      <c r="B49" s="13">
        <v>1505</v>
      </c>
      <c r="C49" s="14"/>
      <c r="D49" s="15">
        <v>1505</v>
      </c>
    </row>
    <row r="50" spans="1:4" ht="16.5" customHeight="1">
      <c r="A50" s="12" t="s">
        <v>1268</v>
      </c>
      <c r="B50" s="13">
        <v>1505</v>
      </c>
      <c r="C50" s="14"/>
      <c r="D50" s="15">
        <v>1505</v>
      </c>
    </row>
    <row r="51" spans="1:4" ht="16.5" customHeight="1">
      <c r="A51" s="12"/>
      <c r="B51" s="13"/>
      <c r="C51" s="14"/>
      <c r="D51" s="15"/>
    </row>
    <row r="52" spans="1:4" ht="16.5" customHeight="1">
      <c r="A52" s="12"/>
      <c r="B52" s="13"/>
      <c r="C52" s="14"/>
      <c r="D52" s="15"/>
    </row>
    <row r="53" spans="1:4" ht="16.5" customHeight="1">
      <c r="A53" s="20" t="s">
        <v>231</v>
      </c>
      <c r="B53" s="17">
        <f>396467+800</f>
        <v>397267</v>
      </c>
      <c r="C53" s="18">
        <v>237167</v>
      </c>
      <c r="D53" s="19">
        <f>B53-C53</f>
        <v>160100</v>
      </c>
    </row>
    <row r="54" spans="1:4" ht="16.5" customHeight="1">
      <c r="A54" s="21"/>
      <c r="B54" s="22"/>
      <c r="C54" s="22"/>
      <c r="D54" s="22"/>
    </row>
    <row r="55" ht="14.25">
      <c r="D55" s="23"/>
    </row>
  </sheetData>
  <sheetProtection/>
  <mergeCells count="1">
    <mergeCell ref="A2:D2"/>
  </mergeCells>
  <printOptions horizontalCentered="1"/>
  <pageMargins left="0.75" right="0.75" top="0.75" bottom="0.9" header="0.51" footer="0.51"/>
  <pageSetup horizontalDpi="600" verticalDpi="600" orientation="portrait" paperSize="9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J43"/>
  <sheetViews>
    <sheetView workbookViewId="0" topLeftCell="A16">
      <selection activeCell="E29" sqref="E29"/>
    </sheetView>
  </sheetViews>
  <sheetFormatPr defaultColWidth="9.00390625" defaultRowHeight="14.25"/>
  <cols>
    <col min="1" max="1" width="26.75390625" style="61" customWidth="1"/>
    <col min="2" max="2" width="9.50390625" style="61" customWidth="1"/>
    <col min="3" max="3" width="8.50390625" style="61" customWidth="1"/>
    <col min="4" max="4" width="8.25390625" style="61" customWidth="1"/>
    <col min="5" max="5" width="9.625" style="61" customWidth="1"/>
    <col min="6" max="6" width="8.00390625" style="61" customWidth="1"/>
    <col min="7" max="7" width="9.375" style="61" customWidth="1"/>
    <col min="8" max="8" width="23.50390625" style="61" customWidth="1"/>
    <col min="9" max="16384" width="9.00390625" style="61" customWidth="1"/>
  </cols>
  <sheetData>
    <row r="1" spans="1:2" ht="14.25">
      <c r="A1" s="429" t="s">
        <v>50</v>
      </c>
      <c r="B1" s="541"/>
    </row>
    <row r="2" spans="1:8" ht="21">
      <c r="A2" s="502" t="s">
        <v>51</v>
      </c>
      <c r="B2" s="502"/>
      <c r="C2" s="502"/>
      <c r="D2" s="502"/>
      <c r="E2" s="502"/>
      <c r="F2" s="502"/>
      <c r="G2" s="502"/>
      <c r="H2" s="502"/>
    </row>
    <row r="3" spans="1:8" ht="19.5" customHeight="1">
      <c r="A3" s="228"/>
      <c r="B3" s="228"/>
      <c r="C3" s="228"/>
      <c r="D3" s="228"/>
      <c r="E3" s="228"/>
      <c r="F3" s="542"/>
      <c r="G3" s="542"/>
      <c r="H3" s="543" t="s">
        <v>3</v>
      </c>
    </row>
    <row r="4" spans="1:8" ht="23.25" customHeight="1">
      <c r="A4" s="231" t="s">
        <v>52</v>
      </c>
      <c r="B4" s="503" t="s">
        <v>5</v>
      </c>
      <c r="C4" s="504" t="s">
        <v>6</v>
      </c>
      <c r="D4" s="504" t="s">
        <v>7</v>
      </c>
      <c r="E4" s="544" t="s">
        <v>8</v>
      </c>
      <c r="F4" s="544"/>
      <c r="G4" s="544"/>
      <c r="H4" s="235" t="s">
        <v>9</v>
      </c>
    </row>
    <row r="5" spans="1:8" ht="44.25" customHeight="1">
      <c r="A5" s="231"/>
      <c r="B5" s="508"/>
      <c r="C5" s="509"/>
      <c r="D5" s="509"/>
      <c r="E5" s="234" t="s">
        <v>53</v>
      </c>
      <c r="F5" s="234" t="s">
        <v>11</v>
      </c>
      <c r="G5" s="234" t="s">
        <v>54</v>
      </c>
      <c r="H5" s="235"/>
    </row>
    <row r="6" spans="1:8" ht="19.5" customHeight="1">
      <c r="A6" s="545" t="s">
        <v>55</v>
      </c>
      <c r="B6" s="265">
        <v>249908</v>
      </c>
      <c r="C6" s="237">
        <v>246070</v>
      </c>
      <c r="D6" s="237">
        <v>236864</v>
      </c>
      <c r="E6" s="265">
        <v>244331</v>
      </c>
      <c r="F6" s="516">
        <f>E6/D6*100</f>
        <v>103.15244190759255</v>
      </c>
      <c r="G6" s="239">
        <f>(E6/B6-1)*100</f>
        <v>-2.231621236615078</v>
      </c>
      <c r="H6" s="546"/>
    </row>
    <row r="7" spans="1:8" ht="19.5" customHeight="1">
      <c r="A7" s="249" t="s">
        <v>56</v>
      </c>
      <c r="B7" s="265">
        <v>904</v>
      </c>
      <c r="C7" s="265">
        <v>796</v>
      </c>
      <c r="D7" s="265">
        <v>827</v>
      </c>
      <c r="E7" s="265">
        <v>1070</v>
      </c>
      <c r="F7" s="516">
        <f aca="true" t="shared" si="0" ref="F7:F31">E7/D7*100</f>
        <v>129.3833131801693</v>
      </c>
      <c r="G7" s="239">
        <f aca="true" t="shared" si="1" ref="G7:G26">(E7/B7-1)*100</f>
        <v>18.36283185840708</v>
      </c>
      <c r="H7" s="517"/>
    </row>
    <row r="8" spans="1:8" ht="19.5" customHeight="1">
      <c r="A8" s="249" t="s">
        <v>57</v>
      </c>
      <c r="B8" s="265">
        <v>130877</v>
      </c>
      <c r="C8" s="265">
        <v>138726</v>
      </c>
      <c r="D8" s="265">
        <v>137845</v>
      </c>
      <c r="E8" s="265">
        <v>158064</v>
      </c>
      <c r="F8" s="516">
        <f t="shared" si="0"/>
        <v>114.66792411766839</v>
      </c>
      <c r="G8" s="239">
        <f t="shared" si="1"/>
        <v>20.772939477524698</v>
      </c>
      <c r="H8" s="517"/>
    </row>
    <row r="9" spans="1:8" ht="19.5" customHeight="1">
      <c r="A9" s="249" t="s">
        <v>58</v>
      </c>
      <c r="B9" s="265">
        <v>490993</v>
      </c>
      <c r="C9" s="265">
        <v>493401</v>
      </c>
      <c r="D9" s="265">
        <v>467833</v>
      </c>
      <c r="E9" s="265">
        <v>508246</v>
      </c>
      <c r="F9" s="516">
        <f t="shared" si="0"/>
        <v>108.63833889443455</v>
      </c>
      <c r="G9" s="239">
        <f t="shared" si="1"/>
        <v>3.513899383494268</v>
      </c>
      <c r="H9" s="517"/>
    </row>
    <row r="10" spans="1:8" ht="19.5" customHeight="1">
      <c r="A10" s="249" t="s">
        <v>59</v>
      </c>
      <c r="B10" s="265">
        <v>16715</v>
      </c>
      <c r="C10" s="265">
        <v>19308</v>
      </c>
      <c r="D10" s="265">
        <v>19901</v>
      </c>
      <c r="E10" s="265">
        <v>21152</v>
      </c>
      <c r="F10" s="516">
        <f t="shared" si="0"/>
        <v>106.28611627556404</v>
      </c>
      <c r="G10" s="239">
        <f t="shared" si="1"/>
        <v>26.545019443613516</v>
      </c>
      <c r="H10" s="517"/>
    </row>
    <row r="11" spans="1:8" ht="19.5" customHeight="1">
      <c r="A11" s="249" t="s">
        <v>60</v>
      </c>
      <c r="B11" s="265">
        <v>40070</v>
      </c>
      <c r="C11" s="265">
        <v>33026</v>
      </c>
      <c r="D11" s="265">
        <v>29551</v>
      </c>
      <c r="E11" s="265">
        <v>37891</v>
      </c>
      <c r="F11" s="516">
        <f t="shared" si="0"/>
        <v>128.22239518121214</v>
      </c>
      <c r="G11" s="239">
        <f t="shared" si="1"/>
        <v>-5.437983528824553</v>
      </c>
      <c r="H11" s="517" t="s">
        <v>61</v>
      </c>
    </row>
    <row r="12" spans="1:8" ht="19.5" customHeight="1">
      <c r="A12" s="249" t="s">
        <v>62</v>
      </c>
      <c r="B12" s="265">
        <v>290947</v>
      </c>
      <c r="C12" s="265">
        <v>320716</v>
      </c>
      <c r="D12" s="237">
        <v>305371</v>
      </c>
      <c r="E12" s="265">
        <v>351723</v>
      </c>
      <c r="F12" s="516">
        <f t="shared" si="0"/>
        <v>115.17891351831051</v>
      </c>
      <c r="G12" s="239">
        <f t="shared" si="1"/>
        <v>20.88902789855196</v>
      </c>
      <c r="H12" s="517"/>
    </row>
    <row r="13" spans="1:8" ht="19.5" customHeight="1">
      <c r="A13" s="249" t="s">
        <v>63</v>
      </c>
      <c r="B13" s="265">
        <v>248107</v>
      </c>
      <c r="C13" s="265">
        <v>243196</v>
      </c>
      <c r="D13" s="265">
        <v>244073</v>
      </c>
      <c r="E13" s="265">
        <v>260872</v>
      </c>
      <c r="F13" s="516">
        <f t="shared" si="0"/>
        <v>106.88277687413192</v>
      </c>
      <c r="G13" s="239">
        <f t="shared" si="1"/>
        <v>5.144957619091772</v>
      </c>
      <c r="H13" s="517"/>
    </row>
    <row r="14" spans="1:8" ht="19.5" customHeight="1">
      <c r="A14" s="249" t="s">
        <v>64</v>
      </c>
      <c r="B14" s="265">
        <v>68394</v>
      </c>
      <c r="C14" s="265">
        <v>56633</v>
      </c>
      <c r="D14" s="265">
        <v>39995</v>
      </c>
      <c r="E14" s="265">
        <v>47058</v>
      </c>
      <c r="F14" s="516">
        <f t="shared" si="0"/>
        <v>117.65970746343292</v>
      </c>
      <c r="G14" s="239">
        <f>(E14/46394-1)*100</f>
        <v>1.4312195542527162</v>
      </c>
      <c r="H14" s="517" t="s">
        <v>65</v>
      </c>
    </row>
    <row r="15" spans="1:8" ht="19.5" customHeight="1">
      <c r="A15" s="249" t="s">
        <v>66</v>
      </c>
      <c r="B15" s="265">
        <v>171275</v>
      </c>
      <c r="C15" s="265">
        <v>156936</v>
      </c>
      <c r="D15" s="265">
        <f>176326-1189</f>
        <v>175137</v>
      </c>
      <c r="E15" s="265">
        <v>209313</v>
      </c>
      <c r="F15" s="516">
        <f t="shared" si="0"/>
        <v>119.51386628753491</v>
      </c>
      <c r="G15" s="239">
        <f t="shared" si="1"/>
        <v>22.208728652751432</v>
      </c>
      <c r="H15" s="517"/>
    </row>
    <row r="16" spans="1:8" ht="19.5" customHeight="1">
      <c r="A16" s="249" t="s">
        <v>67</v>
      </c>
      <c r="B16" s="265">
        <v>283654</v>
      </c>
      <c r="C16" s="265">
        <v>255391</v>
      </c>
      <c r="D16" s="265">
        <v>222663</v>
      </c>
      <c r="E16" s="265">
        <v>205074</v>
      </c>
      <c r="F16" s="516">
        <f t="shared" si="0"/>
        <v>92.10061842335728</v>
      </c>
      <c r="G16" s="239">
        <f>(E16/233654-1)*100</f>
        <v>-12.231761493490378</v>
      </c>
      <c r="H16" s="517" t="s">
        <v>68</v>
      </c>
    </row>
    <row r="17" spans="1:8" ht="19.5" customHeight="1">
      <c r="A17" s="249" t="s">
        <v>69</v>
      </c>
      <c r="B17" s="265">
        <v>112977</v>
      </c>
      <c r="C17" s="265">
        <v>80614</v>
      </c>
      <c r="D17" s="265">
        <v>68892</v>
      </c>
      <c r="E17" s="265">
        <v>71444</v>
      </c>
      <c r="F17" s="516">
        <f t="shared" si="0"/>
        <v>103.70434883585902</v>
      </c>
      <c r="G17" s="239">
        <f>(E17/85977-1)*100</f>
        <v>-16.90335787478047</v>
      </c>
      <c r="H17" s="517" t="s">
        <v>70</v>
      </c>
    </row>
    <row r="18" spans="1:8" ht="19.5" customHeight="1">
      <c r="A18" s="249" t="s">
        <v>71</v>
      </c>
      <c r="B18" s="265">
        <v>235223</v>
      </c>
      <c r="C18" s="265">
        <v>196767</v>
      </c>
      <c r="D18" s="237">
        <v>217949</v>
      </c>
      <c r="E18" s="265">
        <v>155875</v>
      </c>
      <c r="F18" s="516">
        <f t="shared" si="0"/>
        <v>71.51902509302634</v>
      </c>
      <c r="G18" s="239">
        <f>(E18/155223-1)*100</f>
        <v>0.420040844462477</v>
      </c>
      <c r="H18" s="517"/>
    </row>
    <row r="19" spans="1:8" ht="19.5" customHeight="1">
      <c r="A19" s="249" t="s">
        <v>72</v>
      </c>
      <c r="B19" s="265">
        <v>15466</v>
      </c>
      <c r="C19" s="265">
        <v>16050</v>
      </c>
      <c r="D19" s="265">
        <v>17793</v>
      </c>
      <c r="E19" s="265">
        <v>15363</v>
      </c>
      <c r="F19" s="516">
        <f t="shared" si="0"/>
        <v>86.34294385432474</v>
      </c>
      <c r="G19" s="239">
        <f t="shared" si="1"/>
        <v>-0.6659769817664585</v>
      </c>
      <c r="H19" s="517"/>
    </row>
    <row r="20" spans="1:8" ht="19.5" customHeight="1">
      <c r="A20" s="249" t="s">
        <v>73</v>
      </c>
      <c r="B20" s="265">
        <v>2153</v>
      </c>
      <c r="C20" s="265">
        <v>499</v>
      </c>
      <c r="D20" s="265">
        <v>304</v>
      </c>
      <c r="E20" s="265">
        <v>528</v>
      </c>
      <c r="F20" s="516">
        <f t="shared" si="0"/>
        <v>173.6842105263158</v>
      </c>
      <c r="G20" s="239">
        <v>0</v>
      </c>
      <c r="H20" s="517" t="s">
        <v>74</v>
      </c>
    </row>
    <row r="21" spans="1:8" ht="19.5" customHeight="1">
      <c r="A21" s="249" t="s">
        <v>75</v>
      </c>
      <c r="B21" s="265">
        <v>2593</v>
      </c>
      <c r="C21" s="265">
        <v>3219</v>
      </c>
      <c r="D21" s="265">
        <v>2355</v>
      </c>
      <c r="E21" s="265">
        <v>2899</v>
      </c>
      <c r="F21" s="516">
        <f t="shared" si="0"/>
        <v>123.09978768577494</v>
      </c>
      <c r="G21" s="239">
        <f t="shared" si="1"/>
        <v>11.801002699575779</v>
      </c>
      <c r="H21" s="517"/>
    </row>
    <row r="22" spans="1:8" ht="19.5" customHeight="1">
      <c r="A22" s="249" t="s">
        <v>76</v>
      </c>
      <c r="B22" s="265">
        <v>14706</v>
      </c>
      <c r="C22" s="265">
        <v>29487</v>
      </c>
      <c r="D22" s="265">
        <v>28750</v>
      </c>
      <c r="E22" s="265">
        <v>34660</v>
      </c>
      <c r="F22" s="516">
        <f t="shared" si="0"/>
        <v>120.55652173913043</v>
      </c>
      <c r="G22" s="239">
        <f>(E22/34261-1)*100</f>
        <v>1.164589474913158</v>
      </c>
      <c r="H22" s="517"/>
    </row>
    <row r="23" spans="1:8" ht="19.5" customHeight="1">
      <c r="A23" s="249" t="s">
        <v>77</v>
      </c>
      <c r="B23" s="265">
        <v>60929</v>
      </c>
      <c r="C23" s="265">
        <v>55748</v>
      </c>
      <c r="D23" s="265">
        <v>55989</v>
      </c>
      <c r="E23" s="265">
        <v>62677</v>
      </c>
      <c r="F23" s="516">
        <f t="shared" si="0"/>
        <v>111.94520352212041</v>
      </c>
      <c r="G23" s="239">
        <f t="shared" si="1"/>
        <v>2.8689129970949745</v>
      </c>
      <c r="H23" s="517"/>
    </row>
    <row r="24" spans="1:8" ht="19.5" customHeight="1">
      <c r="A24" s="249" t="s">
        <v>78</v>
      </c>
      <c r="B24" s="265">
        <v>6034</v>
      </c>
      <c r="C24" s="265">
        <v>6191</v>
      </c>
      <c r="D24" s="237">
        <v>5384</v>
      </c>
      <c r="E24" s="265">
        <v>4263</v>
      </c>
      <c r="F24" s="516">
        <f t="shared" si="0"/>
        <v>79.17904903417534</v>
      </c>
      <c r="G24" s="239">
        <f>(E24/4234-1)*100</f>
        <v>0.6849315068493178</v>
      </c>
      <c r="H24" s="517" t="s">
        <v>79</v>
      </c>
    </row>
    <row r="25" spans="1:8" ht="19.5" customHeight="1">
      <c r="A25" s="249" t="s">
        <v>80</v>
      </c>
      <c r="B25" s="265"/>
      <c r="C25" s="265">
        <v>33707</v>
      </c>
      <c r="D25" s="237">
        <v>33707</v>
      </c>
      <c r="E25" s="265"/>
      <c r="F25" s="516"/>
      <c r="G25" s="239"/>
      <c r="H25" s="269"/>
    </row>
    <row r="26" spans="1:8" ht="19.5" customHeight="1">
      <c r="A26" s="249" t="s">
        <v>81</v>
      </c>
      <c r="B26" s="265">
        <v>3654</v>
      </c>
      <c r="C26" s="265">
        <v>57726</v>
      </c>
      <c r="D26" s="237">
        <v>54533</v>
      </c>
      <c r="E26" s="265">
        <v>55707</v>
      </c>
      <c r="F26" s="516">
        <f t="shared" si="0"/>
        <v>102.15282489501769</v>
      </c>
      <c r="G26" s="239">
        <f t="shared" si="1"/>
        <v>1424.5484400656815</v>
      </c>
      <c r="H26" s="269" t="s">
        <v>82</v>
      </c>
    </row>
    <row r="27" spans="1:8" ht="19.5" customHeight="1">
      <c r="A27" s="249" t="s">
        <v>83</v>
      </c>
      <c r="B27" s="265">
        <v>24209</v>
      </c>
      <c r="C27" s="265">
        <f>9809+130</f>
        <v>9939</v>
      </c>
      <c r="D27" s="237">
        <v>9590</v>
      </c>
      <c r="E27" s="265">
        <v>2868</v>
      </c>
      <c r="F27" s="516">
        <f t="shared" si="0"/>
        <v>29.906152241918665</v>
      </c>
      <c r="G27" s="239"/>
      <c r="H27" s="269"/>
    </row>
    <row r="28" spans="1:8" ht="19.5" customHeight="1">
      <c r="A28" s="514"/>
      <c r="B28" s="265"/>
      <c r="C28" s="265"/>
      <c r="D28" s="265"/>
      <c r="E28" s="265"/>
      <c r="F28" s="516"/>
      <c r="G28" s="239"/>
      <c r="H28" s="269"/>
    </row>
    <row r="29" spans="1:10" ht="21.75" customHeight="1">
      <c r="A29" s="547" t="s">
        <v>84</v>
      </c>
      <c r="B29" s="265">
        <f>SUM(B6:B27)</f>
        <v>2469788</v>
      </c>
      <c r="C29" s="265">
        <f>SUM(C6:C27)</f>
        <v>2454146</v>
      </c>
      <c r="D29" s="265">
        <f>SUM(D6:D27)</f>
        <v>2375306</v>
      </c>
      <c r="E29" s="265">
        <f>SUM(E6:E27)</f>
        <v>2451078</v>
      </c>
      <c r="F29" s="516">
        <f t="shared" si="0"/>
        <v>103.1899889951021</v>
      </c>
      <c r="G29" s="239">
        <v>2.9</v>
      </c>
      <c r="H29" s="517"/>
      <c r="J29" s="241"/>
    </row>
    <row r="30" spans="1:8" ht="19.5" customHeight="1">
      <c r="A30" s="547"/>
      <c r="B30" s="265"/>
      <c r="C30" s="265"/>
      <c r="D30" s="265"/>
      <c r="E30" s="265"/>
      <c r="F30" s="516"/>
      <c r="G30" s="239"/>
      <c r="H30" s="269"/>
    </row>
    <row r="31" spans="1:8" ht="19.5" customHeight="1">
      <c r="A31" s="253" t="s">
        <v>85</v>
      </c>
      <c r="B31" s="237">
        <f>B32</f>
        <v>1038800</v>
      </c>
      <c r="C31" s="237">
        <f>C32</f>
        <v>140800</v>
      </c>
      <c r="D31" s="237">
        <f>D32</f>
        <v>144200</v>
      </c>
      <c r="E31" s="237">
        <f>E32</f>
        <v>148850</v>
      </c>
      <c r="F31" s="516">
        <f t="shared" si="0"/>
        <v>103.22468793342581</v>
      </c>
      <c r="G31" s="239"/>
      <c r="H31" s="269"/>
    </row>
    <row r="32" spans="1:8" ht="19.5" customHeight="1">
      <c r="A32" s="254" t="s">
        <v>86</v>
      </c>
      <c r="B32" s="237">
        <v>1038800</v>
      </c>
      <c r="C32" s="265">
        <v>140800</v>
      </c>
      <c r="D32" s="265">
        <v>144200</v>
      </c>
      <c r="E32" s="237">
        <v>148850</v>
      </c>
      <c r="F32" s="516"/>
      <c r="G32" s="239"/>
      <c r="H32" s="269" t="s">
        <v>87</v>
      </c>
    </row>
    <row r="33" spans="1:8" ht="19.5" customHeight="1">
      <c r="A33" s="547"/>
      <c r="B33" s="265"/>
      <c r="C33" s="265"/>
      <c r="D33" s="265"/>
      <c r="E33" s="265"/>
      <c r="F33" s="516"/>
      <c r="G33" s="239"/>
      <c r="H33" s="269"/>
    </row>
    <row r="34" spans="1:8" ht="19.5" customHeight="1">
      <c r="A34" s="255" t="s">
        <v>88</v>
      </c>
      <c r="B34" s="243">
        <f>SUM(B35:B37)</f>
        <v>272037</v>
      </c>
      <c r="C34" s="243">
        <f>SUM(C35:C37)</f>
        <v>181762</v>
      </c>
      <c r="D34" s="243">
        <f>SUM(D35:D37)</f>
        <v>232199</v>
      </c>
      <c r="E34" s="243">
        <f>SUM(E35:E37)</f>
        <v>270328</v>
      </c>
      <c r="F34" s="516"/>
      <c r="G34" s="239"/>
      <c r="H34" s="269"/>
    </row>
    <row r="35" spans="1:8" ht="19.5" customHeight="1">
      <c r="A35" s="256" t="s">
        <v>89</v>
      </c>
      <c r="B35" s="237">
        <v>117896</v>
      </c>
      <c r="C35" s="243">
        <v>124854</v>
      </c>
      <c r="D35" s="243">
        <v>124854</v>
      </c>
      <c r="E35" s="237">
        <v>134328</v>
      </c>
      <c r="F35" s="516"/>
      <c r="G35" s="239"/>
      <c r="H35" s="240"/>
    </row>
    <row r="36" spans="1:8" ht="19.5" customHeight="1">
      <c r="A36" s="256" t="s">
        <v>90</v>
      </c>
      <c r="B36" s="237">
        <v>54341</v>
      </c>
      <c r="C36" s="265"/>
      <c r="D36" s="265">
        <v>8000</v>
      </c>
      <c r="E36" s="237">
        <f>55708+7000</f>
        <v>62708</v>
      </c>
      <c r="F36" s="516"/>
      <c r="G36" s="239"/>
      <c r="H36" s="240" t="s">
        <v>91</v>
      </c>
    </row>
    <row r="37" spans="1:8" ht="19.5" customHeight="1">
      <c r="A37" s="256" t="s">
        <v>92</v>
      </c>
      <c r="B37" s="237">
        <v>99800</v>
      </c>
      <c r="C37" s="237">
        <v>56908</v>
      </c>
      <c r="D37" s="237">
        <f>57039+42719-413</f>
        <v>99345</v>
      </c>
      <c r="E37" s="237">
        <f>65292+8000</f>
        <v>73292</v>
      </c>
      <c r="F37" s="516"/>
      <c r="G37" s="239"/>
      <c r="H37" s="269"/>
    </row>
    <row r="38" spans="1:8" ht="15" customHeight="1">
      <c r="A38" s="258"/>
      <c r="B38" s="515"/>
      <c r="C38" s="243"/>
      <c r="D38" s="243"/>
      <c r="E38" s="237"/>
      <c r="F38" s="516"/>
      <c r="G38" s="239"/>
      <c r="H38" s="269"/>
    </row>
    <row r="39" spans="1:8" ht="23.25" customHeight="1">
      <c r="A39" s="259" t="s">
        <v>93</v>
      </c>
      <c r="B39" s="548">
        <f>B29+B34+B31</f>
        <v>3780625</v>
      </c>
      <c r="C39" s="548">
        <f>C29+C34+C31</f>
        <v>2776708</v>
      </c>
      <c r="D39" s="549">
        <f>D29+D34+D31</f>
        <v>2751705</v>
      </c>
      <c r="E39" s="548">
        <f>E29+E34+E31</f>
        <v>2870256</v>
      </c>
      <c r="F39" s="523">
        <f>E39/D39*100</f>
        <v>104.30827432446428</v>
      </c>
      <c r="G39" s="523">
        <f>(E39/B39-1)*100</f>
        <v>-24.079854521408496</v>
      </c>
      <c r="H39" s="550"/>
    </row>
    <row r="40" spans="1:8" ht="34.5" customHeight="1">
      <c r="A40" s="27" t="s">
        <v>94</v>
      </c>
      <c r="B40" s="27"/>
      <c r="C40" s="27"/>
      <c r="D40" s="27"/>
      <c r="E40" s="27"/>
      <c r="F40" s="27"/>
      <c r="G40" s="27"/>
      <c r="H40" s="27"/>
    </row>
    <row r="41" spans="2:7" ht="14.25">
      <c r="B41" s="241"/>
      <c r="C41" s="241"/>
      <c r="D41" s="241"/>
      <c r="E41" s="241"/>
      <c r="F41" s="241"/>
      <c r="G41" s="241"/>
    </row>
    <row r="42" ht="14.25">
      <c r="E42" s="241"/>
    </row>
    <row r="43" ht="14.25">
      <c r="D43" s="241"/>
    </row>
  </sheetData>
  <sheetProtection/>
  <mergeCells count="8">
    <mergeCell ref="A2:H2"/>
    <mergeCell ref="E4:G4"/>
    <mergeCell ref="A40:H40"/>
    <mergeCell ref="A4:A5"/>
    <mergeCell ref="B4:B5"/>
    <mergeCell ref="C4:C5"/>
    <mergeCell ref="D4:D5"/>
    <mergeCell ref="H4:H5"/>
  </mergeCells>
  <printOptions horizontalCentered="1"/>
  <pageMargins left="0.39" right="0.39" top="0.75" bottom="0.9" header="0.31" footer="0.28"/>
  <pageSetup horizontalDpi="600" verticalDpi="600" orientation="portrait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J43"/>
  <sheetViews>
    <sheetView showZeros="0" view="pageBreakPreview" zoomScaleSheetLayoutView="100" workbookViewId="0" topLeftCell="A1">
      <selection activeCell="A2" sqref="A2:H2"/>
    </sheetView>
  </sheetViews>
  <sheetFormatPr defaultColWidth="9.00390625" defaultRowHeight="14.25"/>
  <cols>
    <col min="1" max="1" width="22.125" style="61" customWidth="1"/>
    <col min="2" max="2" width="9.25390625" style="61" customWidth="1"/>
    <col min="3" max="3" width="8.375" style="61" customWidth="1"/>
    <col min="4" max="4" width="8.25390625" style="61" customWidth="1"/>
    <col min="5" max="5" width="8.00390625" style="61" customWidth="1"/>
    <col min="6" max="6" width="8.125" style="61" customWidth="1"/>
    <col min="7" max="7" width="7.875" style="61" customWidth="1"/>
    <col min="8" max="8" width="19.00390625" style="61" customWidth="1"/>
    <col min="9" max="9" width="0.12890625" style="61" hidden="1" customWidth="1"/>
    <col min="10" max="10" width="13.875" style="61" customWidth="1"/>
    <col min="11" max="11" width="12.00390625" style="61" customWidth="1"/>
    <col min="12" max="12" width="10.25390625" style="61" customWidth="1"/>
    <col min="13" max="16384" width="9.00390625" style="61" customWidth="1"/>
  </cols>
  <sheetData>
    <row r="1" spans="1:2" ht="14.25">
      <c r="A1" s="429" t="s">
        <v>95</v>
      </c>
      <c r="B1" s="228"/>
    </row>
    <row r="2" spans="1:8" ht="21">
      <c r="A2" s="502" t="s">
        <v>96</v>
      </c>
      <c r="B2" s="502"/>
      <c r="C2" s="502"/>
      <c r="D2" s="502"/>
      <c r="E2" s="502"/>
      <c r="F2" s="502"/>
      <c r="G2" s="502"/>
      <c r="H2" s="502"/>
    </row>
    <row r="3" spans="1:8" ht="20.25" customHeight="1">
      <c r="A3" s="230"/>
      <c r="B3" s="230"/>
      <c r="F3" s="64"/>
      <c r="G3" s="525" t="s">
        <v>3</v>
      </c>
      <c r="H3" s="525"/>
    </row>
    <row r="4" spans="1:8" ht="19.5" customHeight="1">
      <c r="A4" s="231" t="s">
        <v>4</v>
      </c>
      <c r="B4" s="503" t="s">
        <v>5</v>
      </c>
      <c r="C4" s="504" t="s">
        <v>6</v>
      </c>
      <c r="D4" s="504" t="s">
        <v>7</v>
      </c>
      <c r="E4" s="505" t="s">
        <v>8</v>
      </c>
      <c r="F4" s="506"/>
      <c r="G4" s="507"/>
      <c r="H4" s="68" t="s">
        <v>9</v>
      </c>
    </row>
    <row r="5" spans="1:8" ht="24.75" customHeight="1">
      <c r="A5" s="231"/>
      <c r="B5" s="508"/>
      <c r="C5" s="509"/>
      <c r="D5" s="509"/>
      <c r="E5" s="234" t="s">
        <v>53</v>
      </c>
      <c r="F5" s="234" t="s">
        <v>11</v>
      </c>
      <c r="G5" s="234" t="s">
        <v>97</v>
      </c>
      <c r="H5" s="58"/>
    </row>
    <row r="6" spans="1:8" ht="21" customHeight="1">
      <c r="A6" s="51" t="s">
        <v>13</v>
      </c>
      <c r="B6" s="238">
        <f>SUM(B7:B14)</f>
        <v>20671</v>
      </c>
      <c r="C6" s="238">
        <f>SUM(C7:C14)</f>
        <v>18983</v>
      </c>
      <c r="D6" s="238">
        <f>SUM(D7:D14)</f>
        <v>18983</v>
      </c>
      <c r="E6" s="238">
        <f>SUM(E7:E14)</f>
        <v>18097</v>
      </c>
      <c r="F6" s="526">
        <f>E6/D6*100</f>
        <v>95.33266606964126</v>
      </c>
      <c r="G6" s="239">
        <f>(E6/20378-1)*100</f>
        <v>-11.193443910099122</v>
      </c>
      <c r="H6" s="527" t="s">
        <v>98</v>
      </c>
    </row>
    <row r="7" spans="1:8" ht="21" customHeight="1">
      <c r="A7" s="528" t="s">
        <v>99</v>
      </c>
      <c r="B7" s="266">
        <v>8065</v>
      </c>
      <c r="C7" s="529">
        <v>8700</v>
      </c>
      <c r="D7" s="529">
        <v>8700</v>
      </c>
      <c r="E7" s="244">
        <v>8457</v>
      </c>
      <c r="F7" s="530">
        <f aca="true" t="shared" si="0" ref="F7:F22">E7/D7*100</f>
        <v>97.20689655172414</v>
      </c>
      <c r="G7" s="239">
        <f>(E7/9056-1)*100</f>
        <v>-6.614399293286222</v>
      </c>
      <c r="H7" s="527" t="s">
        <v>100</v>
      </c>
    </row>
    <row r="8" spans="1:8" ht="27" customHeight="1">
      <c r="A8" s="528" t="s">
        <v>101</v>
      </c>
      <c r="B8" s="266">
        <v>2889</v>
      </c>
      <c r="C8" s="529">
        <v>-28</v>
      </c>
      <c r="D8" s="529">
        <v>-28</v>
      </c>
      <c r="E8" s="244">
        <v>1</v>
      </c>
      <c r="F8" s="530">
        <f t="shared" si="0"/>
        <v>-3.571428571428571</v>
      </c>
      <c r="G8" s="239">
        <f>(E8/1605-1)*100</f>
        <v>-99.93769470404985</v>
      </c>
      <c r="H8" s="531" t="s">
        <v>102</v>
      </c>
    </row>
    <row r="9" spans="1:8" ht="21" customHeight="1">
      <c r="A9" s="528" t="s">
        <v>103</v>
      </c>
      <c r="B9" s="266">
        <v>5784</v>
      </c>
      <c r="C9" s="529">
        <v>6300</v>
      </c>
      <c r="D9" s="529">
        <v>6300</v>
      </c>
      <c r="E9" s="244">
        <v>6547</v>
      </c>
      <c r="F9" s="530">
        <f t="shared" si="0"/>
        <v>103.92063492063492</v>
      </c>
      <c r="G9" s="239">
        <f aca="true" t="shared" si="1" ref="G9:G22">(E9/B9-1)*100</f>
        <v>13.19156293222683</v>
      </c>
      <c r="H9" s="274"/>
    </row>
    <row r="10" spans="1:8" ht="21" customHeight="1">
      <c r="A10" s="528" t="s">
        <v>104</v>
      </c>
      <c r="B10" s="266">
        <v>1182</v>
      </c>
      <c r="C10" s="529">
        <v>1200</v>
      </c>
      <c r="D10" s="529">
        <v>1200</v>
      </c>
      <c r="E10" s="244">
        <v>690</v>
      </c>
      <c r="F10" s="530">
        <f t="shared" si="0"/>
        <v>57.49999999999999</v>
      </c>
      <c r="G10" s="239">
        <f t="shared" si="1"/>
        <v>-41.62436548223351</v>
      </c>
      <c r="H10" s="248"/>
    </row>
    <row r="11" spans="1:8" ht="21" customHeight="1">
      <c r="A11" s="528" t="s">
        <v>105</v>
      </c>
      <c r="B11" s="266">
        <v>1741</v>
      </c>
      <c r="C11" s="529">
        <v>1800</v>
      </c>
      <c r="D11" s="529">
        <v>1800</v>
      </c>
      <c r="E11" s="244">
        <v>1396</v>
      </c>
      <c r="F11" s="530">
        <f t="shared" si="0"/>
        <v>77.55555555555556</v>
      </c>
      <c r="G11" s="239">
        <f t="shared" si="1"/>
        <v>-19.816197587593344</v>
      </c>
      <c r="H11" s="532"/>
    </row>
    <row r="12" spans="1:8" ht="21" customHeight="1">
      <c r="A12" s="528" t="s">
        <v>106</v>
      </c>
      <c r="B12" s="266">
        <v>718</v>
      </c>
      <c r="C12" s="529">
        <v>718</v>
      </c>
      <c r="D12" s="529">
        <v>718</v>
      </c>
      <c r="E12" s="244">
        <v>715</v>
      </c>
      <c r="F12" s="530">
        <f t="shared" si="0"/>
        <v>99.58217270194986</v>
      </c>
      <c r="G12" s="239">
        <f t="shared" si="1"/>
        <v>-0.41782729805014407</v>
      </c>
      <c r="H12" s="274"/>
    </row>
    <row r="13" spans="1:8" ht="21" customHeight="1">
      <c r="A13" s="528" t="s">
        <v>107</v>
      </c>
      <c r="B13" s="266">
        <v>59</v>
      </c>
      <c r="C13" s="529">
        <v>60</v>
      </c>
      <c r="D13" s="529">
        <v>60</v>
      </c>
      <c r="E13" s="244">
        <v>66</v>
      </c>
      <c r="F13" s="530">
        <f t="shared" si="0"/>
        <v>110.00000000000001</v>
      </c>
      <c r="G13" s="239">
        <f t="shared" si="1"/>
        <v>11.864406779661007</v>
      </c>
      <c r="H13" s="274"/>
    </row>
    <row r="14" spans="1:8" ht="21" customHeight="1">
      <c r="A14" s="528" t="s">
        <v>108</v>
      </c>
      <c r="B14" s="266">
        <v>233</v>
      </c>
      <c r="C14" s="529">
        <v>233</v>
      </c>
      <c r="D14" s="529">
        <v>233</v>
      </c>
      <c r="E14" s="244">
        <v>225</v>
      </c>
      <c r="F14" s="530">
        <f t="shared" si="0"/>
        <v>96.56652360515021</v>
      </c>
      <c r="G14" s="239">
        <f t="shared" si="1"/>
        <v>-3.433476394849788</v>
      </c>
      <c r="H14" s="274"/>
    </row>
    <row r="15" spans="1:8" ht="21" customHeight="1">
      <c r="A15" s="51" t="s">
        <v>30</v>
      </c>
      <c r="B15" s="237">
        <f>SUM(B16:B22)</f>
        <v>100079</v>
      </c>
      <c r="C15" s="237">
        <f>SUM(C16:C23)</f>
        <v>67017</v>
      </c>
      <c r="D15" s="237">
        <f>SUM(D16:D23)</f>
        <v>75017</v>
      </c>
      <c r="E15" s="237">
        <f>SUM(E16:E23)</f>
        <v>76183</v>
      </c>
      <c r="F15" s="530">
        <f t="shared" si="0"/>
        <v>101.55431435541277</v>
      </c>
      <c r="G15" s="239">
        <f t="shared" si="1"/>
        <v>-23.877137061721243</v>
      </c>
      <c r="H15" s="532"/>
    </row>
    <row r="16" spans="1:8" ht="21" customHeight="1">
      <c r="A16" s="528" t="s">
        <v>109</v>
      </c>
      <c r="B16" s="266">
        <v>8725</v>
      </c>
      <c r="C16" s="266">
        <v>6924</v>
      </c>
      <c r="D16" s="266">
        <v>6924</v>
      </c>
      <c r="E16" s="244">
        <v>4776</v>
      </c>
      <c r="F16" s="530">
        <f t="shared" si="0"/>
        <v>68.97746967071056</v>
      </c>
      <c r="G16" s="239">
        <f t="shared" si="1"/>
        <v>-45.26074498567335</v>
      </c>
      <c r="H16" s="274"/>
    </row>
    <row r="17" spans="1:8" ht="21" customHeight="1">
      <c r="A17" s="528" t="s">
        <v>110</v>
      </c>
      <c r="B17" s="266">
        <v>25332</v>
      </c>
      <c r="C17" s="266">
        <v>21693</v>
      </c>
      <c r="D17" s="266">
        <f>21693-2000</f>
        <v>19693</v>
      </c>
      <c r="E17" s="244">
        <v>18562</v>
      </c>
      <c r="F17" s="530">
        <f t="shared" si="0"/>
        <v>94.2568425328797</v>
      </c>
      <c r="G17" s="239">
        <f t="shared" si="1"/>
        <v>-26.725090794252328</v>
      </c>
      <c r="H17" s="248"/>
    </row>
    <row r="18" spans="1:8" ht="21" customHeight="1">
      <c r="A18" s="528" t="s">
        <v>111</v>
      </c>
      <c r="B18" s="266">
        <v>15663</v>
      </c>
      <c r="C18" s="266">
        <v>13475</v>
      </c>
      <c r="D18" s="266">
        <f>13475+5000</f>
        <v>18475</v>
      </c>
      <c r="E18" s="244">
        <v>18623</v>
      </c>
      <c r="F18" s="530">
        <f t="shared" si="0"/>
        <v>100.80108254397835</v>
      </c>
      <c r="G18" s="239">
        <f t="shared" si="1"/>
        <v>18.898039966800752</v>
      </c>
      <c r="H18" s="248"/>
    </row>
    <row r="19" spans="1:8" ht="21" customHeight="1">
      <c r="A19" s="528" t="s">
        <v>112</v>
      </c>
      <c r="B19" s="266">
        <v>23037</v>
      </c>
      <c r="C19" s="266">
        <v>11000</v>
      </c>
      <c r="D19" s="266">
        <f>11000+5000</f>
        <v>16000</v>
      </c>
      <c r="E19" s="244">
        <v>16548</v>
      </c>
      <c r="F19" s="530">
        <f t="shared" si="0"/>
        <v>103.42499999999998</v>
      </c>
      <c r="G19" s="239">
        <f t="shared" si="1"/>
        <v>-28.167730173199633</v>
      </c>
      <c r="H19" s="248"/>
    </row>
    <row r="20" spans="1:8" ht="21" customHeight="1">
      <c r="A20" s="528" t="s">
        <v>113</v>
      </c>
      <c r="B20" s="266">
        <v>396</v>
      </c>
      <c r="C20" s="266">
        <v>300</v>
      </c>
      <c r="D20" s="266">
        <v>300</v>
      </c>
      <c r="E20" s="244">
        <v>96</v>
      </c>
      <c r="F20" s="530">
        <f t="shared" si="0"/>
        <v>32</v>
      </c>
      <c r="G20" s="239">
        <f t="shared" si="1"/>
        <v>-75.75757575757575</v>
      </c>
      <c r="H20" s="248"/>
    </row>
    <row r="21" spans="1:8" ht="21" customHeight="1">
      <c r="A21" s="528" t="s">
        <v>114</v>
      </c>
      <c r="B21" s="514">
        <v>24082</v>
      </c>
      <c r="C21" s="266">
        <v>13400</v>
      </c>
      <c r="D21" s="266">
        <v>13400</v>
      </c>
      <c r="E21" s="244">
        <v>11644</v>
      </c>
      <c r="F21" s="530">
        <f t="shared" si="0"/>
        <v>86.8955223880597</v>
      </c>
      <c r="G21" s="239">
        <f t="shared" si="1"/>
        <v>-51.648534174902416</v>
      </c>
      <c r="H21" s="274"/>
    </row>
    <row r="22" spans="1:8" ht="21" customHeight="1">
      <c r="A22" s="528" t="s">
        <v>115</v>
      </c>
      <c r="B22" s="514">
        <v>2844</v>
      </c>
      <c r="C22" s="266">
        <v>225</v>
      </c>
      <c r="D22" s="266">
        <v>225</v>
      </c>
      <c r="E22" s="244">
        <v>5934</v>
      </c>
      <c r="F22" s="530">
        <f t="shared" si="0"/>
        <v>2637.3333333333335</v>
      </c>
      <c r="G22" s="239">
        <f t="shared" si="1"/>
        <v>108.64978902953588</v>
      </c>
      <c r="H22" s="274"/>
    </row>
    <row r="23" spans="1:8" ht="21" customHeight="1">
      <c r="A23" s="51"/>
      <c r="B23" s="239"/>
      <c r="C23" s="266"/>
      <c r="D23" s="266"/>
      <c r="E23" s="533"/>
      <c r="F23" s="239"/>
      <c r="G23" s="534"/>
      <c r="H23" s="532"/>
    </row>
    <row r="24" spans="1:10" ht="21" customHeight="1">
      <c r="A24" s="270" t="s">
        <v>39</v>
      </c>
      <c r="B24" s="265">
        <f>B15+B6</f>
        <v>120750</v>
      </c>
      <c r="C24" s="265">
        <f>C15+C6</f>
        <v>86000</v>
      </c>
      <c r="D24" s="265">
        <f>D15+D6</f>
        <v>94000</v>
      </c>
      <c r="E24" s="265">
        <f>E15+E6</f>
        <v>94280</v>
      </c>
      <c r="F24" s="239">
        <f>E24/D24*100</f>
        <v>100.29787234042553</v>
      </c>
      <c r="G24" s="239">
        <f>(E24/120475-1)*100</f>
        <v>-21.743100228263124</v>
      </c>
      <c r="H24" s="527" t="s">
        <v>116</v>
      </c>
      <c r="I24" s="241"/>
      <c r="J24" s="241"/>
    </row>
    <row r="25" spans="1:8" ht="21" customHeight="1">
      <c r="A25" s="270"/>
      <c r="B25" s="265"/>
      <c r="C25" s="243"/>
      <c r="D25" s="243"/>
      <c r="E25" s="265"/>
      <c r="F25" s="239"/>
      <c r="G25" s="535"/>
      <c r="H25" s="532"/>
    </row>
    <row r="26" spans="1:8" ht="21" customHeight="1">
      <c r="A26" s="270"/>
      <c r="B26" s="536"/>
      <c r="C26" s="243"/>
      <c r="D26" s="243"/>
      <c r="E26" s="265"/>
      <c r="F26" s="239"/>
      <c r="G26" s="535"/>
      <c r="H26" s="532"/>
    </row>
    <row r="27" spans="1:8" ht="21" customHeight="1">
      <c r="A27" s="271" t="s">
        <v>41</v>
      </c>
      <c r="B27" s="243">
        <f>SUM(B28:B34)</f>
        <v>1638128</v>
      </c>
      <c r="C27" s="243">
        <f>SUM(C28:C34)</f>
        <v>657505</v>
      </c>
      <c r="D27" s="243">
        <f>SUM(D28:D34)</f>
        <v>632905</v>
      </c>
      <c r="E27" s="243">
        <f>SUM(E28:E34)</f>
        <v>688124</v>
      </c>
      <c r="F27" s="239"/>
      <c r="G27" s="535"/>
      <c r="H27" s="532"/>
    </row>
    <row r="28" spans="1:8" ht="21" customHeight="1">
      <c r="A28" s="537" t="s">
        <v>42</v>
      </c>
      <c r="B28" s="265">
        <v>25777</v>
      </c>
      <c r="C28" s="265">
        <v>25777</v>
      </c>
      <c r="D28" s="265">
        <v>25777</v>
      </c>
      <c r="E28" s="265">
        <v>32591</v>
      </c>
      <c r="F28" s="239"/>
      <c r="G28" s="535"/>
      <c r="H28" s="248"/>
    </row>
    <row r="29" spans="1:10" ht="21" customHeight="1">
      <c r="A29" s="537" t="s">
        <v>43</v>
      </c>
      <c r="B29" s="265">
        <v>88137</v>
      </c>
      <c r="C29" s="265">
        <v>69275</v>
      </c>
      <c r="D29" s="265">
        <v>69275</v>
      </c>
      <c r="E29" s="265">
        <f>78066+15000</f>
        <v>93066</v>
      </c>
      <c r="F29" s="239"/>
      <c r="G29" s="535"/>
      <c r="H29" s="248"/>
      <c r="J29" s="241">
        <f>B29-88137</f>
        <v>0</v>
      </c>
    </row>
    <row r="30" spans="1:8" ht="21" customHeight="1">
      <c r="A30" s="56" t="s">
        <v>44</v>
      </c>
      <c r="B30" s="265">
        <v>81173</v>
      </c>
      <c r="C30" s="265">
        <v>35487</v>
      </c>
      <c r="D30" s="265">
        <f>35487-14000</f>
        <v>21487</v>
      </c>
      <c r="E30" s="265">
        <v>29877</v>
      </c>
      <c r="F30" s="239"/>
      <c r="G30" s="535"/>
      <c r="H30" s="248"/>
    </row>
    <row r="31" spans="1:8" ht="21" customHeight="1">
      <c r="A31" s="528" t="s">
        <v>117</v>
      </c>
      <c r="B31" s="265">
        <v>257509</v>
      </c>
      <c r="C31" s="265">
        <v>251077</v>
      </c>
      <c r="D31" s="265">
        <v>251077</v>
      </c>
      <c r="E31" s="265">
        <v>246774</v>
      </c>
      <c r="F31" s="239"/>
      <c r="G31" s="535"/>
      <c r="H31" s="248"/>
    </row>
    <row r="32" spans="1:8" ht="21" customHeight="1">
      <c r="A32" s="528" t="s">
        <v>45</v>
      </c>
      <c r="B32" s="265">
        <v>43559</v>
      </c>
      <c r="C32" s="265">
        <v>38089</v>
      </c>
      <c r="D32" s="265">
        <v>38089</v>
      </c>
      <c r="E32" s="265">
        <v>40188</v>
      </c>
      <c r="F32" s="239"/>
      <c r="G32" s="535"/>
      <c r="H32" s="532"/>
    </row>
    <row r="33" spans="1:8" ht="21" customHeight="1">
      <c r="A33" s="528" t="s">
        <v>46</v>
      </c>
      <c r="B33" s="265">
        <v>24173</v>
      </c>
      <c r="C33" s="265">
        <v>40500</v>
      </c>
      <c r="D33" s="265">
        <v>40000</v>
      </c>
      <c r="E33" s="265">
        <v>58428</v>
      </c>
      <c r="F33" s="239"/>
      <c r="G33" s="535"/>
      <c r="H33" s="248"/>
    </row>
    <row r="34" spans="1:8" ht="21" customHeight="1">
      <c r="A34" s="528" t="s">
        <v>47</v>
      </c>
      <c r="B34" s="265">
        <v>1117800</v>
      </c>
      <c r="C34" s="265">
        <v>197300</v>
      </c>
      <c r="D34" s="265">
        <f>197300-10100</f>
        <v>187200</v>
      </c>
      <c r="E34" s="265">
        <v>187200</v>
      </c>
      <c r="F34" s="239"/>
      <c r="G34" s="535"/>
      <c r="H34" s="248"/>
    </row>
    <row r="35" spans="1:8" ht="21" customHeight="1">
      <c r="A35" s="528"/>
      <c r="B35" s="265"/>
      <c r="C35" s="265"/>
      <c r="D35" s="243"/>
      <c r="E35" s="265"/>
      <c r="F35" s="239"/>
      <c r="G35" s="535"/>
      <c r="H35" s="248"/>
    </row>
    <row r="36" spans="1:8" ht="21" customHeight="1">
      <c r="A36" s="538"/>
      <c r="B36" s="265"/>
      <c r="C36" s="243"/>
      <c r="D36" s="243"/>
      <c r="E36" s="265"/>
      <c r="F36" s="239"/>
      <c r="G36" s="535"/>
      <c r="H36" s="532"/>
    </row>
    <row r="37" spans="1:8" ht="21" customHeight="1">
      <c r="A37" s="58" t="s">
        <v>48</v>
      </c>
      <c r="B37" s="260">
        <f>B24+B27</f>
        <v>1758878</v>
      </c>
      <c r="C37" s="276">
        <f>C24+C27</f>
        <v>743505</v>
      </c>
      <c r="D37" s="276">
        <f>D24+D27</f>
        <v>726905</v>
      </c>
      <c r="E37" s="276">
        <f>E24+E27</f>
        <v>782404</v>
      </c>
      <c r="F37" s="261">
        <f>E37/D37*100</f>
        <v>107.63497293318936</v>
      </c>
      <c r="G37" s="523">
        <f>(E37/B37-1)*100</f>
        <v>-55.51686927689129</v>
      </c>
      <c r="H37" s="539"/>
    </row>
    <row r="38" spans="1:8" ht="36" customHeight="1">
      <c r="A38" s="540" t="s">
        <v>49</v>
      </c>
      <c r="B38" s="540"/>
      <c r="C38" s="540"/>
      <c r="D38" s="540"/>
      <c r="E38" s="540"/>
      <c r="F38" s="540"/>
      <c r="G38" s="540"/>
      <c r="H38" s="540"/>
    </row>
    <row r="39" spans="1:7" ht="14.25">
      <c r="A39" s="227"/>
      <c r="B39" s="241"/>
      <c r="C39" s="241"/>
      <c r="D39" s="241"/>
      <c r="E39" s="241"/>
      <c r="F39" s="241"/>
      <c r="G39" s="241"/>
    </row>
    <row r="40" spans="1:6" ht="14.25">
      <c r="A40" s="227"/>
      <c r="F40" s="241"/>
    </row>
    <row r="41" ht="14.25">
      <c r="A41" s="227"/>
    </row>
    <row r="43" ht="14.25">
      <c r="F43" s="241"/>
    </row>
  </sheetData>
  <sheetProtection/>
  <mergeCells count="9">
    <mergeCell ref="A2:H2"/>
    <mergeCell ref="G3:H3"/>
    <mergeCell ref="E4:G4"/>
    <mergeCell ref="A38:H38"/>
    <mergeCell ref="A4:A5"/>
    <mergeCell ref="B4:B5"/>
    <mergeCell ref="C4:C5"/>
    <mergeCell ref="D4:D5"/>
    <mergeCell ref="H4:H5"/>
  </mergeCells>
  <printOptions horizontalCentered="1"/>
  <pageMargins left="0.39" right="0.39" top="0.75" bottom="0.9" header="0.36" footer="0.31"/>
  <pageSetup horizontalDpi="600" verticalDpi="600" orientation="portrait" paperSize="9" scale="86"/>
  <colBreaks count="1" manualBreakCount="1">
    <brk id="8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J43"/>
  <sheetViews>
    <sheetView view="pageBreakPreview" zoomScaleSheetLayoutView="100" workbookViewId="0" topLeftCell="A13">
      <selection activeCell="A2" sqref="A2:H2"/>
    </sheetView>
  </sheetViews>
  <sheetFormatPr defaultColWidth="9.00390625" defaultRowHeight="14.25"/>
  <cols>
    <col min="1" max="1" width="24.25390625" style="61" customWidth="1"/>
    <col min="2" max="2" width="7.875" style="61" customWidth="1"/>
    <col min="3" max="3" width="7.50390625" style="61" customWidth="1"/>
    <col min="4" max="4" width="8.625" style="61" customWidth="1"/>
    <col min="5" max="5" width="7.625" style="61" customWidth="1"/>
    <col min="6" max="6" width="7.875" style="61" customWidth="1"/>
    <col min="7" max="7" width="10.00390625" style="61" customWidth="1"/>
    <col min="8" max="8" width="22.625" style="61" customWidth="1"/>
    <col min="9" max="16384" width="9.00390625" style="61" customWidth="1"/>
  </cols>
  <sheetData>
    <row r="1" spans="1:2" ht="14.25">
      <c r="A1" s="429" t="s">
        <v>118</v>
      </c>
      <c r="B1" s="228"/>
    </row>
    <row r="2" spans="1:8" ht="21">
      <c r="A2" s="502" t="s">
        <v>119</v>
      </c>
      <c r="B2" s="502"/>
      <c r="C2" s="502"/>
      <c r="D2" s="502"/>
      <c r="E2" s="502"/>
      <c r="F2" s="502"/>
      <c r="G2" s="502"/>
      <c r="H2" s="502"/>
    </row>
    <row r="3" spans="1:8" ht="18" customHeight="1">
      <c r="A3" s="230"/>
      <c r="B3" s="230"/>
      <c r="F3" s="64"/>
      <c r="G3" s="64"/>
      <c r="H3" s="5" t="s">
        <v>3</v>
      </c>
    </row>
    <row r="4" spans="1:8" ht="19.5" customHeight="1">
      <c r="A4" s="231" t="s">
        <v>52</v>
      </c>
      <c r="B4" s="503" t="s">
        <v>5</v>
      </c>
      <c r="C4" s="504" t="s">
        <v>6</v>
      </c>
      <c r="D4" s="504" t="s">
        <v>7</v>
      </c>
      <c r="E4" s="505" t="s">
        <v>8</v>
      </c>
      <c r="F4" s="506"/>
      <c r="G4" s="507"/>
      <c r="H4" s="68" t="s">
        <v>120</v>
      </c>
    </row>
    <row r="5" spans="1:8" ht="25.5" customHeight="1">
      <c r="A5" s="231"/>
      <c r="B5" s="508"/>
      <c r="C5" s="509"/>
      <c r="D5" s="509"/>
      <c r="E5" s="234" t="s">
        <v>53</v>
      </c>
      <c r="F5" s="234" t="s">
        <v>11</v>
      </c>
      <c r="G5" s="234" t="s">
        <v>54</v>
      </c>
      <c r="H5" s="58"/>
    </row>
    <row r="6" spans="1:8" ht="19.5" customHeight="1">
      <c r="A6" s="510" t="s">
        <v>55</v>
      </c>
      <c r="B6" s="511">
        <v>45574</v>
      </c>
      <c r="C6" s="238">
        <v>40102</v>
      </c>
      <c r="D6" s="238">
        <v>40102</v>
      </c>
      <c r="E6" s="237">
        <v>38907</v>
      </c>
      <c r="F6" s="512">
        <f aca="true" t="shared" si="0" ref="F6:F24">E6/D6*100</f>
        <v>97.02009874819211</v>
      </c>
      <c r="G6" s="513">
        <f>(E6/40674-1)*100</f>
        <v>-4.344298569110483</v>
      </c>
      <c r="H6" s="240"/>
    </row>
    <row r="7" spans="1:8" ht="19.5" customHeight="1">
      <c r="A7" s="514" t="s">
        <v>56</v>
      </c>
      <c r="B7" s="515">
        <v>872</v>
      </c>
      <c r="C7" s="243">
        <v>776</v>
      </c>
      <c r="D7" s="243">
        <v>776</v>
      </c>
      <c r="E7" s="237">
        <v>1026</v>
      </c>
      <c r="F7" s="516">
        <f t="shared" si="0"/>
        <v>132.2164948453608</v>
      </c>
      <c r="G7" s="513">
        <f aca="true" t="shared" si="1" ref="G7:G24">(E7/B7-1)*100</f>
        <v>17.660550458715598</v>
      </c>
      <c r="H7" s="517"/>
    </row>
    <row r="8" spans="1:8" ht="19.5" customHeight="1">
      <c r="A8" s="514" t="s">
        <v>57</v>
      </c>
      <c r="B8" s="515">
        <v>64580</v>
      </c>
      <c r="C8" s="244">
        <v>69583</v>
      </c>
      <c r="D8" s="244">
        <v>69583</v>
      </c>
      <c r="E8" s="237">
        <v>74910</v>
      </c>
      <c r="F8" s="516">
        <f t="shared" si="0"/>
        <v>107.65560553583491</v>
      </c>
      <c r="G8" s="513">
        <f t="shared" si="1"/>
        <v>15.995664292350575</v>
      </c>
      <c r="H8" s="517"/>
    </row>
    <row r="9" spans="1:8" ht="19.5" customHeight="1">
      <c r="A9" s="514" t="s">
        <v>58</v>
      </c>
      <c r="B9" s="515">
        <v>50928</v>
      </c>
      <c r="C9" s="244">
        <v>44872</v>
      </c>
      <c r="D9" s="244">
        <v>44872</v>
      </c>
      <c r="E9" s="237">
        <v>46071</v>
      </c>
      <c r="F9" s="516">
        <f t="shared" si="0"/>
        <v>102.67204492779463</v>
      </c>
      <c r="G9" s="513">
        <f>(E9/47528-1)*100</f>
        <v>-3.065561353307522</v>
      </c>
      <c r="H9" s="240" t="s">
        <v>121</v>
      </c>
    </row>
    <row r="10" spans="1:8" ht="19.5" customHeight="1">
      <c r="A10" s="514" t="s">
        <v>59</v>
      </c>
      <c r="B10" s="515">
        <v>6772</v>
      </c>
      <c r="C10" s="244">
        <v>6903</v>
      </c>
      <c r="D10" s="244">
        <v>6903</v>
      </c>
      <c r="E10" s="237">
        <v>6685</v>
      </c>
      <c r="F10" s="516">
        <v>104</v>
      </c>
      <c r="G10" s="513">
        <f t="shared" si="1"/>
        <v>-1.2847017129356209</v>
      </c>
      <c r="H10" s="517" t="s">
        <v>122</v>
      </c>
    </row>
    <row r="11" spans="1:8" ht="19.5" customHeight="1">
      <c r="A11" s="514" t="s">
        <v>60</v>
      </c>
      <c r="B11" s="515">
        <v>18123</v>
      </c>
      <c r="C11" s="244">
        <v>11329</v>
      </c>
      <c r="D11" s="244">
        <v>11329</v>
      </c>
      <c r="E11" s="237">
        <v>12162</v>
      </c>
      <c r="F11" s="516">
        <f t="shared" si="0"/>
        <v>107.35281136905289</v>
      </c>
      <c r="G11" s="513">
        <f>(E11/14123-1)*100</f>
        <v>-13.885151879912206</v>
      </c>
      <c r="H11" s="517" t="s">
        <v>61</v>
      </c>
    </row>
    <row r="12" spans="1:8" ht="19.5" customHeight="1">
      <c r="A12" s="514" t="s">
        <v>62</v>
      </c>
      <c r="B12" s="515">
        <v>41222</v>
      </c>
      <c r="C12" s="244">
        <v>62136</v>
      </c>
      <c r="D12" s="244">
        <v>62136</v>
      </c>
      <c r="E12" s="237">
        <v>62208</v>
      </c>
      <c r="F12" s="516">
        <f t="shared" si="0"/>
        <v>100.11587485515643</v>
      </c>
      <c r="G12" s="513">
        <f t="shared" si="1"/>
        <v>50.90970840813158</v>
      </c>
      <c r="H12" s="240" t="s">
        <v>123</v>
      </c>
    </row>
    <row r="13" spans="1:8" ht="19.5" customHeight="1">
      <c r="A13" s="514" t="s">
        <v>63</v>
      </c>
      <c r="B13" s="515">
        <v>35097</v>
      </c>
      <c r="C13" s="244">
        <v>21509</v>
      </c>
      <c r="D13" s="244">
        <v>21509</v>
      </c>
      <c r="E13" s="237">
        <v>23237</v>
      </c>
      <c r="F13" s="516">
        <f t="shared" si="0"/>
        <v>108.03384629689899</v>
      </c>
      <c r="G13" s="513">
        <v>0.6</v>
      </c>
      <c r="H13" s="240" t="s">
        <v>124</v>
      </c>
    </row>
    <row r="14" spans="1:8" ht="19.5" customHeight="1">
      <c r="A14" s="514" t="s">
        <v>64</v>
      </c>
      <c r="B14" s="515">
        <v>4437</v>
      </c>
      <c r="C14" s="244">
        <v>3581</v>
      </c>
      <c r="D14" s="244">
        <v>3581</v>
      </c>
      <c r="E14" s="237">
        <v>6666</v>
      </c>
      <c r="F14" s="516">
        <f t="shared" si="0"/>
        <v>186.14912035744206</v>
      </c>
      <c r="G14" s="513">
        <f t="shared" si="1"/>
        <v>50.236646382691006</v>
      </c>
      <c r="H14" s="240" t="s">
        <v>125</v>
      </c>
    </row>
    <row r="15" spans="1:8" ht="28.5" customHeight="1">
      <c r="A15" s="514" t="s">
        <v>66</v>
      </c>
      <c r="B15" s="515">
        <v>14954</v>
      </c>
      <c r="C15" s="244">
        <v>13742</v>
      </c>
      <c r="D15" s="244">
        <f>13742-5000</f>
        <v>8742</v>
      </c>
      <c r="E15" s="237">
        <v>8280</v>
      </c>
      <c r="F15" s="516">
        <v>103</v>
      </c>
      <c r="G15" s="513">
        <f>(E15/9954-1)*100</f>
        <v>-16.817359855334534</v>
      </c>
      <c r="H15" s="240" t="s">
        <v>126</v>
      </c>
    </row>
    <row r="16" spans="1:8" ht="19.5" customHeight="1">
      <c r="A16" s="514" t="s">
        <v>67</v>
      </c>
      <c r="B16" s="515">
        <v>54493</v>
      </c>
      <c r="C16" s="244">
        <v>29015</v>
      </c>
      <c r="D16" s="244">
        <f>29015-7000</f>
        <v>22015</v>
      </c>
      <c r="E16" s="237">
        <v>22003</v>
      </c>
      <c r="F16" s="516">
        <v>100</v>
      </c>
      <c r="G16" s="513">
        <f>(E16/14493-1)*100</f>
        <v>51.81811909197545</v>
      </c>
      <c r="H16" s="517" t="s">
        <v>127</v>
      </c>
    </row>
    <row r="17" spans="1:8" ht="23.25" customHeight="1">
      <c r="A17" s="514" t="s">
        <v>69</v>
      </c>
      <c r="B17" s="515">
        <v>52028</v>
      </c>
      <c r="C17" s="244">
        <v>35772</v>
      </c>
      <c r="D17" s="244">
        <f>35772-2000</f>
        <v>33772</v>
      </c>
      <c r="E17" s="237">
        <v>32629</v>
      </c>
      <c r="F17" s="516">
        <v>101</v>
      </c>
      <c r="G17" s="513">
        <f>(E17/34028-1)*100</f>
        <v>-4.1113200893381885</v>
      </c>
      <c r="H17" s="240" t="s">
        <v>128</v>
      </c>
    </row>
    <row r="18" spans="1:8" ht="19.5" customHeight="1">
      <c r="A18" s="249" t="s">
        <v>71</v>
      </c>
      <c r="B18" s="515">
        <v>4792</v>
      </c>
      <c r="C18" s="244">
        <v>5584</v>
      </c>
      <c r="D18" s="244">
        <v>5584</v>
      </c>
      <c r="E18" s="237">
        <v>5539</v>
      </c>
      <c r="F18" s="516">
        <f t="shared" si="0"/>
        <v>99.19412607449857</v>
      </c>
      <c r="G18" s="513">
        <f t="shared" si="1"/>
        <v>15.58848080133557</v>
      </c>
      <c r="H18" s="240"/>
    </row>
    <row r="19" spans="1:8" ht="25.5" customHeight="1">
      <c r="A19" s="249" t="s">
        <v>72</v>
      </c>
      <c r="B19" s="515">
        <v>3915</v>
      </c>
      <c r="C19" s="244">
        <v>3255</v>
      </c>
      <c r="D19" s="244">
        <v>3255</v>
      </c>
      <c r="E19" s="237">
        <v>2853</v>
      </c>
      <c r="F19" s="516">
        <v>101</v>
      </c>
      <c r="G19" s="513">
        <f>(E19/3315-1)*100</f>
        <v>-13.936651583710402</v>
      </c>
      <c r="H19" s="517" t="s">
        <v>129</v>
      </c>
    </row>
    <row r="20" spans="1:8" ht="19.5" customHeight="1">
      <c r="A20" s="249" t="s">
        <v>73</v>
      </c>
      <c r="B20" s="515">
        <v>1770</v>
      </c>
      <c r="C20" s="244">
        <v>0</v>
      </c>
      <c r="D20" s="244">
        <v>0</v>
      </c>
      <c r="E20" s="237">
        <v>225</v>
      </c>
      <c r="F20" s="516"/>
      <c r="G20" s="513">
        <v>0</v>
      </c>
      <c r="H20" s="517" t="s">
        <v>74</v>
      </c>
    </row>
    <row r="21" spans="1:8" ht="19.5" customHeight="1">
      <c r="A21" s="249" t="s">
        <v>75</v>
      </c>
      <c r="B21" s="515">
        <v>838</v>
      </c>
      <c r="C21" s="244">
        <v>1409</v>
      </c>
      <c r="D21" s="244">
        <v>1409</v>
      </c>
      <c r="E21" s="237">
        <v>1212</v>
      </c>
      <c r="F21" s="516">
        <f t="shared" si="0"/>
        <v>86.01845280340667</v>
      </c>
      <c r="G21" s="513">
        <f t="shared" si="1"/>
        <v>44.63007159904535</v>
      </c>
      <c r="H21" s="240"/>
    </row>
    <row r="22" spans="1:8" ht="19.5" customHeight="1">
      <c r="A22" s="249" t="s">
        <v>76</v>
      </c>
      <c r="B22" s="515">
        <v>8422</v>
      </c>
      <c r="C22" s="244">
        <v>7956</v>
      </c>
      <c r="D22" s="244">
        <v>7956</v>
      </c>
      <c r="E22" s="237">
        <v>7809</v>
      </c>
      <c r="F22" s="516">
        <f t="shared" si="0"/>
        <v>98.1523378582202</v>
      </c>
      <c r="G22" s="513">
        <f t="shared" si="1"/>
        <v>-7.278556162431727</v>
      </c>
      <c r="H22" s="517"/>
    </row>
    <row r="23" spans="1:8" ht="19.5" customHeight="1">
      <c r="A23" s="249" t="s">
        <v>77</v>
      </c>
      <c r="B23" s="515">
        <v>14814</v>
      </c>
      <c r="C23" s="244">
        <v>15252</v>
      </c>
      <c r="D23" s="244">
        <v>15252</v>
      </c>
      <c r="E23" s="237">
        <v>18136</v>
      </c>
      <c r="F23" s="516">
        <f t="shared" si="0"/>
        <v>118.90899554156833</v>
      </c>
      <c r="G23" s="513">
        <f t="shared" si="1"/>
        <v>22.424733360334812</v>
      </c>
      <c r="H23" s="240"/>
    </row>
    <row r="24" spans="1:8" ht="19.5" customHeight="1">
      <c r="A24" s="249" t="s">
        <v>78</v>
      </c>
      <c r="B24" s="515">
        <v>828</v>
      </c>
      <c r="C24" s="244">
        <v>733</v>
      </c>
      <c r="D24" s="244">
        <v>733</v>
      </c>
      <c r="E24" s="237">
        <v>814</v>
      </c>
      <c r="F24" s="516">
        <f t="shared" si="0"/>
        <v>111.05047748976808</v>
      </c>
      <c r="G24" s="513">
        <f t="shared" si="1"/>
        <v>-1.6908212560386437</v>
      </c>
      <c r="H24" s="269"/>
    </row>
    <row r="25" spans="1:8" ht="19.5" customHeight="1">
      <c r="A25" s="249" t="s">
        <v>80</v>
      </c>
      <c r="B25" s="515"/>
      <c r="C25" s="244">
        <v>12000</v>
      </c>
      <c r="D25" s="244">
        <v>12000</v>
      </c>
      <c r="E25" s="237"/>
      <c r="F25" s="516"/>
      <c r="G25" s="513"/>
      <c r="H25" s="240"/>
    </row>
    <row r="26" spans="1:8" ht="19.5" customHeight="1">
      <c r="A26" s="249" t="s">
        <v>81</v>
      </c>
      <c r="B26" s="515">
        <v>7435</v>
      </c>
      <c r="C26" s="244">
        <v>12999</v>
      </c>
      <c r="D26" s="244">
        <v>12999</v>
      </c>
      <c r="E26" s="237">
        <v>12938</v>
      </c>
      <c r="F26" s="516"/>
      <c r="G26" s="513"/>
      <c r="H26" s="240"/>
    </row>
    <row r="27" spans="1:9" ht="19.5" customHeight="1">
      <c r="A27" s="249" t="s">
        <v>83</v>
      </c>
      <c r="B27" s="515">
        <v>185</v>
      </c>
      <c r="C27" s="244">
        <v>6190</v>
      </c>
      <c r="D27" s="244">
        <v>6190</v>
      </c>
      <c r="E27" s="237">
        <v>392</v>
      </c>
      <c r="F27" s="516">
        <f>E27/D27*100</f>
        <v>6.332794830371567</v>
      </c>
      <c r="G27" s="513">
        <f>(E27/B27-1)*100</f>
        <v>111.8918918918919</v>
      </c>
      <c r="H27" s="274"/>
      <c r="I27" s="252"/>
    </row>
    <row r="28" spans="1:9" ht="19.5" customHeight="1">
      <c r="A28" s="249"/>
      <c r="B28" s="515"/>
      <c r="D28" s="515"/>
      <c r="E28" s="250"/>
      <c r="F28" s="516"/>
      <c r="G28" s="513"/>
      <c r="H28" s="240"/>
      <c r="I28" s="250"/>
    </row>
    <row r="29" spans="1:10" ht="27" customHeight="1">
      <c r="A29" s="251" t="s">
        <v>84</v>
      </c>
      <c r="B29" s="243">
        <f>SUM(B6:B27)</f>
        <v>432079</v>
      </c>
      <c r="C29" s="243">
        <f>SUM(C6:C27)</f>
        <v>404698</v>
      </c>
      <c r="D29" s="265">
        <f>SUM(D6:D27)</f>
        <v>390698</v>
      </c>
      <c r="E29" s="243">
        <f>SUM(E6:E27)</f>
        <v>384702</v>
      </c>
      <c r="F29" s="516">
        <v>101</v>
      </c>
      <c r="G29" s="513">
        <v>1</v>
      </c>
      <c r="H29" s="240" t="s">
        <v>130</v>
      </c>
      <c r="I29" s="265"/>
      <c r="J29" s="241"/>
    </row>
    <row r="30" spans="1:8" ht="19.5" customHeight="1">
      <c r="A30" s="251"/>
      <c r="B30" s="243"/>
      <c r="C30" s="252"/>
      <c r="D30" s="243"/>
      <c r="E30" s="252"/>
      <c r="F30" s="516"/>
      <c r="G30" s="513"/>
      <c r="H30" s="240"/>
    </row>
    <row r="31" spans="1:8" ht="19.5" customHeight="1">
      <c r="A31" s="253" t="s">
        <v>85</v>
      </c>
      <c r="B31" s="243">
        <f>B32</f>
        <v>181960</v>
      </c>
      <c r="C31" s="243">
        <f>C32</f>
        <v>7270</v>
      </c>
      <c r="D31" s="243">
        <f>D32</f>
        <v>7270</v>
      </c>
      <c r="E31" s="243">
        <f>E32</f>
        <v>7200</v>
      </c>
      <c r="F31" s="516">
        <f>E31/D31*100</f>
        <v>99.03713892709766</v>
      </c>
      <c r="G31" s="513"/>
      <c r="H31" s="240"/>
    </row>
    <row r="32" spans="1:8" ht="19.5" customHeight="1">
      <c r="A32" s="254" t="s">
        <v>86</v>
      </c>
      <c r="B32" s="243">
        <v>181960</v>
      </c>
      <c r="C32" s="243">
        <v>7270</v>
      </c>
      <c r="D32" s="265">
        <v>7270</v>
      </c>
      <c r="E32" s="265">
        <v>7200</v>
      </c>
      <c r="F32" s="516">
        <f>E32/D32*100</f>
        <v>99.03713892709766</v>
      </c>
      <c r="G32" s="513"/>
      <c r="H32" s="240"/>
    </row>
    <row r="33" spans="1:8" ht="19.5" customHeight="1">
      <c r="A33" s="251"/>
      <c r="B33" s="243"/>
      <c r="C33" s="252"/>
      <c r="D33" s="243"/>
      <c r="E33" s="252"/>
      <c r="F33" s="516"/>
      <c r="G33" s="513"/>
      <c r="H33" s="269"/>
    </row>
    <row r="34" spans="1:8" ht="19.5" customHeight="1">
      <c r="A34" s="518" t="s">
        <v>88</v>
      </c>
      <c r="B34" s="243">
        <f>SUM(B35:B39)</f>
        <v>1144839</v>
      </c>
      <c r="C34" s="265">
        <f>SUM(C35:C39)</f>
        <v>331537</v>
      </c>
      <c r="D34" s="265">
        <f>SUM(D35:D39)</f>
        <v>328937</v>
      </c>
      <c r="E34" s="265">
        <f>SUM(E35:E39)</f>
        <v>390502</v>
      </c>
      <c r="F34" s="516"/>
      <c r="G34" s="513"/>
      <c r="H34" s="240"/>
    </row>
    <row r="35" spans="1:8" ht="19.5" customHeight="1">
      <c r="A35" s="519" t="s">
        <v>89</v>
      </c>
      <c r="B35" s="243">
        <v>15336</v>
      </c>
      <c r="C35" s="243">
        <v>23000</v>
      </c>
      <c r="D35" s="243">
        <v>23000</v>
      </c>
      <c r="E35" s="243">
        <v>18920</v>
      </c>
      <c r="F35" s="516"/>
      <c r="G35" s="513"/>
      <c r="H35" s="240"/>
    </row>
    <row r="36" spans="1:8" ht="19.5" customHeight="1">
      <c r="A36" s="519" t="s">
        <v>131</v>
      </c>
      <c r="B36" s="243">
        <v>129523</v>
      </c>
      <c r="C36" s="243">
        <v>121604</v>
      </c>
      <c r="D36" s="243">
        <v>121604</v>
      </c>
      <c r="E36" s="243">
        <v>122975</v>
      </c>
      <c r="F36" s="516"/>
      <c r="G36" s="513"/>
      <c r="H36" s="240"/>
    </row>
    <row r="37" spans="1:8" ht="19.5" customHeight="1">
      <c r="A37" s="519" t="s">
        <v>90</v>
      </c>
      <c r="B37" s="243">
        <v>53952</v>
      </c>
      <c r="C37" s="243"/>
      <c r="D37" s="243">
        <v>8000</v>
      </c>
      <c r="E37" s="243">
        <f>55708+7000</f>
        <v>62708</v>
      </c>
      <c r="F37" s="516"/>
      <c r="G37" s="513"/>
      <c r="H37" s="240" t="s">
        <v>132</v>
      </c>
    </row>
    <row r="38" spans="1:8" ht="19.5" customHeight="1">
      <c r="A38" s="256" t="s">
        <v>92</v>
      </c>
      <c r="B38" s="243">
        <v>40188</v>
      </c>
      <c r="C38" s="243">
        <v>26903</v>
      </c>
      <c r="D38" s="265">
        <v>26333</v>
      </c>
      <c r="E38" s="243">
        <f>27899+8000</f>
        <v>35899</v>
      </c>
      <c r="F38" s="516"/>
      <c r="G38" s="513"/>
      <c r="H38" s="240"/>
    </row>
    <row r="39" spans="1:8" ht="19.5" customHeight="1">
      <c r="A39" s="254" t="s">
        <v>133</v>
      </c>
      <c r="B39" s="244">
        <v>905840</v>
      </c>
      <c r="C39" s="244">
        <v>160030</v>
      </c>
      <c r="D39" s="266">
        <v>150000</v>
      </c>
      <c r="E39" s="244">
        <v>150000</v>
      </c>
      <c r="F39" s="516"/>
      <c r="G39" s="513"/>
      <c r="H39" s="269"/>
    </row>
    <row r="40" spans="1:8" ht="19.5" customHeight="1">
      <c r="A40" s="520"/>
      <c r="B40" s="521"/>
      <c r="C40" s="522"/>
      <c r="D40" s="521"/>
      <c r="E40" s="154"/>
      <c r="F40" s="516"/>
      <c r="G40" s="513"/>
      <c r="H40" s="240"/>
    </row>
    <row r="41" spans="1:8" ht="19.5" customHeight="1">
      <c r="A41" s="259" t="s">
        <v>93</v>
      </c>
      <c r="B41" s="276">
        <f>B29+B34+B31</f>
        <v>1758878</v>
      </c>
      <c r="C41" s="276">
        <f>C29+C34+C31</f>
        <v>743505</v>
      </c>
      <c r="D41" s="276">
        <f>D29+D34+D31</f>
        <v>726905</v>
      </c>
      <c r="E41" s="276">
        <f>E29+E34+E31</f>
        <v>782404</v>
      </c>
      <c r="F41" s="523">
        <f>E41/D41*100</f>
        <v>107.63497293318936</v>
      </c>
      <c r="G41" s="523">
        <f>(E41/B41-1)*100</f>
        <v>-55.51686927689129</v>
      </c>
      <c r="H41" s="524"/>
    </row>
    <row r="42" spans="1:8" ht="27" customHeight="1">
      <c r="A42" s="27"/>
      <c r="B42" s="27"/>
      <c r="C42" s="27"/>
      <c r="D42" s="27"/>
      <c r="E42" s="27"/>
      <c r="F42" s="27"/>
      <c r="G42" s="27"/>
      <c r="H42" s="27"/>
    </row>
    <row r="43" ht="14.25">
      <c r="A43" s="227"/>
    </row>
  </sheetData>
  <sheetProtection/>
  <mergeCells count="8">
    <mergeCell ref="A2:H2"/>
    <mergeCell ref="E4:G4"/>
    <mergeCell ref="A42:H42"/>
    <mergeCell ref="A4:A5"/>
    <mergeCell ref="B4:B5"/>
    <mergeCell ref="C4:C5"/>
    <mergeCell ref="D4:D5"/>
    <mergeCell ref="H4:H5"/>
  </mergeCells>
  <printOptions horizontalCentered="1"/>
  <pageMargins left="0.39" right="0.39" top="0.75" bottom="0.9" header="0.26" footer="0.51"/>
  <pageSetup horizontalDpi="600" verticalDpi="600" orientation="portrait" paperSize="9" scale="8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H28"/>
  <sheetViews>
    <sheetView workbookViewId="0" topLeftCell="A1">
      <selection activeCell="H12" sqref="H12"/>
    </sheetView>
  </sheetViews>
  <sheetFormatPr defaultColWidth="8.00390625" defaultRowHeight="14.25"/>
  <cols>
    <col min="1" max="1" width="24.125" style="459" customWidth="1"/>
    <col min="2" max="2" width="7.75390625" style="459" customWidth="1"/>
    <col min="3" max="3" width="8.125" style="461" customWidth="1"/>
    <col min="4" max="4" width="8.50390625" style="461" customWidth="1"/>
    <col min="5" max="5" width="7.50390625" style="461" customWidth="1"/>
    <col min="6" max="7" width="6.875" style="461" customWidth="1"/>
    <col min="8" max="8" width="11.50390625" style="461" customWidth="1"/>
    <col min="9" max="246" width="7.875" style="459" customWidth="1"/>
    <col min="247" max="16384" width="8.00390625" style="358" customWidth="1"/>
  </cols>
  <sheetData>
    <row r="1" spans="1:2" ht="14.25">
      <c r="A1" s="440" t="s">
        <v>134</v>
      </c>
      <c r="B1" s="481"/>
    </row>
    <row r="2" spans="1:8" ht="19.5" customHeight="1">
      <c r="A2" s="441" t="s">
        <v>135</v>
      </c>
      <c r="B2" s="441"/>
      <c r="C2" s="441"/>
      <c r="D2" s="441"/>
      <c r="E2" s="441"/>
      <c r="F2" s="441"/>
      <c r="G2" s="441"/>
      <c r="H2" s="441"/>
    </row>
    <row r="3" spans="1:8" ht="18" customHeight="1">
      <c r="A3" s="464"/>
      <c r="B3" s="464"/>
      <c r="C3" s="467"/>
      <c r="D3" s="467"/>
      <c r="E3" s="467"/>
      <c r="F3" s="467"/>
      <c r="G3" s="467"/>
      <c r="H3" s="467" t="s">
        <v>3</v>
      </c>
    </row>
    <row r="4" spans="1:8" ht="36.75" customHeight="1">
      <c r="A4" s="217" t="s">
        <v>136</v>
      </c>
      <c r="B4" s="190" t="s">
        <v>5</v>
      </c>
      <c r="C4" s="190" t="s">
        <v>6</v>
      </c>
      <c r="D4" s="190" t="s">
        <v>7</v>
      </c>
      <c r="E4" s="190" t="s">
        <v>137</v>
      </c>
      <c r="F4" s="469" t="s">
        <v>138</v>
      </c>
      <c r="G4" s="469" t="s">
        <v>97</v>
      </c>
      <c r="H4" s="190" t="s">
        <v>139</v>
      </c>
    </row>
    <row r="5" spans="1:8" ht="25.5" customHeight="1">
      <c r="A5" s="191" t="s">
        <v>140</v>
      </c>
      <c r="B5" s="192">
        <v>2385</v>
      </c>
      <c r="C5" s="192">
        <v>800</v>
      </c>
      <c r="D5" s="192">
        <v>437</v>
      </c>
      <c r="E5" s="192">
        <v>423</v>
      </c>
      <c r="F5" s="495">
        <f>E5/D5%</f>
        <v>96.79633867276888</v>
      </c>
      <c r="G5" s="496">
        <f>(E5/B5-1)*100</f>
        <v>-82.26415094339623</v>
      </c>
      <c r="H5" s="497" t="s">
        <v>141</v>
      </c>
    </row>
    <row r="6" spans="1:8" ht="25.5" customHeight="1">
      <c r="A6" s="191" t="s">
        <v>142</v>
      </c>
      <c r="B6" s="192">
        <v>5391</v>
      </c>
      <c r="C6" s="192">
        <v>5760</v>
      </c>
      <c r="D6" s="192">
        <v>1307</v>
      </c>
      <c r="E6" s="192">
        <v>1269</v>
      </c>
      <c r="F6" s="495">
        <f aca="true" t="shared" si="0" ref="F6:F13">E6/D6%</f>
        <v>97.09257842387146</v>
      </c>
      <c r="G6" s="496">
        <f aca="true" t="shared" si="1" ref="G6:G16">(E6/B6-1)*100</f>
        <v>-76.46076794657763</v>
      </c>
      <c r="H6" s="497" t="s">
        <v>141</v>
      </c>
    </row>
    <row r="7" spans="1:8" ht="25.5" customHeight="1">
      <c r="A7" s="191" t="s">
        <v>143</v>
      </c>
      <c r="B7" s="192">
        <v>20682</v>
      </c>
      <c r="C7" s="192">
        <v>24015</v>
      </c>
      <c r="D7" s="192">
        <v>25170</v>
      </c>
      <c r="E7" s="192">
        <v>31020</v>
      </c>
      <c r="F7" s="495">
        <f t="shared" si="0"/>
        <v>123.2419547079857</v>
      </c>
      <c r="G7" s="496">
        <f t="shared" si="1"/>
        <v>49.985494633014206</v>
      </c>
      <c r="H7" s="445"/>
    </row>
    <row r="8" spans="1:8" ht="25.5" customHeight="1">
      <c r="A8" s="191" t="s">
        <v>144</v>
      </c>
      <c r="B8" s="192">
        <v>4807</v>
      </c>
      <c r="C8" s="192">
        <v>6057</v>
      </c>
      <c r="D8" s="192">
        <v>6096</v>
      </c>
      <c r="E8" s="192">
        <v>6119</v>
      </c>
      <c r="F8" s="495">
        <f t="shared" si="0"/>
        <v>100.37729658792651</v>
      </c>
      <c r="G8" s="496">
        <f t="shared" si="1"/>
        <v>27.293530268358634</v>
      </c>
      <c r="H8" s="445"/>
    </row>
    <row r="9" spans="1:8" ht="25.5" customHeight="1">
      <c r="A9" s="191" t="s">
        <v>145</v>
      </c>
      <c r="B9" s="192">
        <v>408403</v>
      </c>
      <c r="C9" s="192">
        <v>503519</v>
      </c>
      <c r="D9" s="192">
        <v>706447</v>
      </c>
      <c r="E9" s="192">
        <v>746413</v>
      </c>
      <c r="F9" s="495">
        <f t="shared" si="0"/>
        <v>105.6573246117543</v>
      </c>
      <c r="G9" s="496">
        <f t="shared" si="1"/>
        <v>82.76383865936343</v>
      </c>
      <c r="H9" s="445"/>
    </row>
    <row r="10" spans="1:8" ht="25.5" customHeight="1">
      <c r="A10" s="191" t="s">
        <v>146</v>
      </c>
      <c r="B10" s="192">
        <v>73651</v>
      </c>
      <c r="C10" s="192">
        <v>36300</v>
      </c>
      <c r="D10" s="192">
        <v>77660</v>
      </c>
      <c r="E10" s="192">
        <v>83888</v>
      </c>
      <c r="F10" s="495">
        <f t="shared" si="0"/>
        <v>108.01957249549318</v>
      </c>
      <c r="G10" s="496">
        <f t="shared" si="1"/>
        <v>13.899336057894661</v>
      </c>
      <c r="H10" s="445"/>
    </row>
    <row r="11" spans="1:8" ht="25.5" customHeight="1">
      <c r="A11" s="191" t="s">
        <v>147</v>
      </c>
      <c r="B11" s="192">
        <v>11412</v>
      </c>
      <c r="C11" s="192">
        <v>9290</v>
      </c>
      <c r="D11" s="192">
        <v>8672</v>
      </c>
      <c r="E11" s="192">
        <v>10725</v>
      </c>
      <c r="F11" s="495">
        <f t="shared" si="0"/>
        <v>123.6738929889299</v>
      </c>
      <c r="G11" s="496">
        <f t="shared" si="1"/>
        <v>-6.019978969505779</v>
      </c>
      <c r="H11" s="445"/>
    </row>
    <row r="12" spans="1:8" ht="25.5" customHeight="1">
      <c r="A12" s="191" t="s">
        <v>148</v>
      </c>
      <c r="B12" s="192">
        <v>3231</v>
      </c>
      <c r="C12" s="192">
        <v>2535</v>
      </c>
      <c r="D12" s="192">
        <v>2535</v>
      </c>
      <c r="E12" s="192">
        <v>2573</v>
      </c>
      <c r="F12" s="495">
        <f t="shared" si="0"/>
        <v>101.4990138067061</v>
      </c>
      <c r="G12" s="496">
        <f t="shared" si="1"/>
        <v>-20.365212008666045</v>
      </c>
      <c r="H12" s="498"/>
    </row>
    <row r="13" spans="1:8" ht="25.5" customHeight="1">
      <c r="A13" s="191" t="s">
        <v>149</v>
      </c>
      <c r="B13" s="192">
        <v>5790</v>
      </c>
      <c r="C13" s="192">
        <v>5893</v>
      </c>
      <c r="D13" s="192">
        <v>6698</v>
      </c>
      <c r="E13" s="192">
        <v>6993</v>
      </c>
      <c r="F13" s="495">
        <f t="shared" si="0"/>
        <v>104.40429979098238</v>
      </c>
      <c r="G13" s="496">
        <f t="shared" si="1"/>
        <v>20.77720207253886</v>
      </c>
      <c r="H13" s="498"/>
    </row>
    <row r="14" spans="1:8" ht="25.5" customHeight="1">
      <c r="A14" s="191" t="s">
        <v>150</v>
      </c>
      <c r="B14" s="192">
        <f>84</f>
        <v>84</v>
      </c>
      <c r="C14" s="221"/>
      <c r="D14" s="221"/>
      <c r="E14" s="221"/>
      <c r="F14" s="495"/>
      <c r="G14" s="496">
        <f t="shared" si="1"/>
        <v>-100</v>
      </c>
      <c r="H14" s="472"/>
    </row>
    <row r="15" spans="1:8" ht="27.75" customHeight="1">
      <c r="A15" s="191"/>
      <c r="B15" s="191"/>
      <c r="C15" s="221"/>
      <c r="D15" s="499"/>
      <c r="E15" s="499"/>
      <c r="F15" s="495"/>
      <c r="G15" s="496"/>
      <c r="H15" s="445"/>
    </row>
    <row r="16" spans="1:8" ht="27" customHeight="1">
      <c r="A16" s="220" t="s">
        <v>39</v>
      </c>
      <c r="B16" s="192">
        <f>SUM(B5:B14)</f>
        <v>535836</v>
      </c>
      <c r="C16" s="192">
        <f>SUM(C5:C14)</f>
        <v>594169</v>
      </c>
      <c r="D16" s="192">
        <f>SUM(D5:D14)</f>
        <v>835022</v>
      </c>
      <c r="E16" s="192">
        <f>SUM(E5:E14)</f>
        <v>889423</v>
      </c>
      <c r="F16" s="495">
        <f>E16/D16%</f>
        <v>106.51491816982069</v>
      </c>
      <c r="G16" s="496">
        <f t="shared" si="1"/>
        <v>65.98791421255757</v>
      </c>
      <c r="H16" s="456"/>
    </row>
    <row r="17" spans="1:8" ht="27.75" customHeight="1">
      <c r="A17" s="220"/>
      <c r="B17" s="192"/>
      <c r="C17" s="192"/>
      <c r="D17" s="447"/>
      <c r="E17" s="447"/>
      <c r="F17" s="495"/>
      <c r="G17" s="496"/>
      <c r="H17" s="456"/>
    </row>
    <row r="18" spans="1:8" ht="27.75" customHeight="1">
      <c r="A18" s="220"/>
      <c r="B18" s="192"/>
      <c r="C18" s="192"/>
      <c r="D18" s="447"/>
      <c r="E18" s="447"/>
      <c r="F18" s="495"/>
      <c r="G18" s="496"/>
      <c r="H18" s="456"/>
    </row>
    <row r="19" spans="1:8" ht="27.75" customHeight="1">
      <c r="A19" s="192" t="s">
        <v>151</v>
      </c>
      <c r="B19" s="192">
        <f>B20+B23+B24+B25</f>
        <v>1213252</v>
      </c>
      <c r="C19" s="192">
        <f>C20+C24+C25</f>
        <v>176942</v>
      </c>
      <c r="D19" s="192">
        <f>D20+D24+D25</f>
        <v>371842</v>
      </c>
      <c r="E19" s="192">
        <f>E20+E24+E25</f>
        <v>353962</v>
      </c>
      <c r="F19" s="495"/>
      <c r="G19" s="496"/>
      <c r="H19" s="198"/>
    </row>
    <row r="20" spans="1:8" ht="27.75" customHeight="1">
      <c r="A20" s="192" t="s">
        <v>152</v>
      </c>
      <c r="B20" s="192">
        <f>SUM(B21:B22)</f>
        <v>26083</v>
      </c>
      <c r="C20" s="192">
        <f>SUM(C21:C22)</f>
        <v>33717</v>
      </c>
      <c r="D20" s="192">
        <f>SUM(D21:D22)</f>
        <v>33717</v>
      </c>
      <c r="E20" s="192">
        <f>SUM(E21:E22)</f>
        <v>15837</v>
      </c>
      <c r="F20" s="495"/>
      <c r="G20" s="496"/>
      <c r="H20" s="198"/>
    </row>
    <row r="21" spans="1:8" s="459" customFormat="1" ht="27.75" customHeight="1">
      <c r="A21" s="192" t="s">
        <v>153</v>
      </c>
      <c r="B21" s="192">
        <v>26083</v>
      </c>
      <c r="C21" s="192">
        <v>33717</v>
      </c>
      <c r="D21" s="192">
        <v>33717</v>
      </c>
      <c r="E21" s="192">
        <v>15837</v>
      </c>
      <c r="F21" s="495"/>
      <c r="G21" s="496"/>
      <c r="H21" s="456"/>
    </row>
    <row r="22" spans="1:8" ht="27.75" customHeight="1">
      <c r="A22" s="204" t="s">
        <v>154</v>
      </c>
      <c r="B22" s="192"/>
      <c r="C22" s="192"/>
      <c r="D22" s="192"/>
      <c r="E22" s="192"/>
      <c r="F22" s="495"/>
      <c r="G22" s="496"/>
      <c r="H22" s="198"/>
    </row>
    <row r="23" spans="1:8" ht="27.75" customHeight="1">
      <c r="A23" s="448" t="s">
        <v>155</v>
      </c>
      <c r="B23" s="192">
        <v>1971</v>
      </c>
      <c r="C23" s="192"/>
      <c r="D23" s="192"/>
      <c r="E23" s="192"/>
      <c r="F23" s="495"/>
      <c r="G23" s="496"/>
      <c r="H23" s="198"/>
    </row>
    <row r="24" spans="1:8" ht="21.75" customHeight="1">
      <c r="A24" s="192" t="s">
        <v>156</v>
      </c>
      <c r="B24" s="192">
        <v>119898</v>
      </c>
      <c r="C24" s="192">
        <v>84125</v>
      </c>
      <c r="D24" s="192">
        <v>84125</v>
      </c>
      <c r="E24" s="192">
        <v>84125</v>
      </c>
      <c r="F24" s="495"/>
      <c r="G24" s="496"/>
      <c r="H24" s="198"/>
    </row>
    <row r="25" spans="1:8" ht="27" customHeight="1">
      <c r="A25" s="273" t="s">
        <v>157</v>
      </c>
      <c r="B25" s="192">
        <v>1065300</v>
      </c>
      <c r="C25" s="192">
        <v>59100</v>
      </c>
      <c r="D25" s="192">
        <v>254000</v>
      </c>
      <c r="E25" s="192">
        <v>254000</v>
      </c>
      <c r="F25" s="495"/>
      <c r="G25" s="496"/>
      <c r="H25" s="498"/>
    </row>
    <row r="26" spans="1:8" ht="21.75" customHeight="1">
      <c r="A26" s="192"/>
      <c r="B26" s="192"/>
      <c r="C26" s="192"/>
      <c r="D26" s="192"/>
      <c r="E26" s="192"/>
      <c r="F26" s="495"/>
      <c r="G26" s="495"/>
      <c r="H26" s="198"/>
    </row>
    <row r="27" spans="1:8" ht="27" customHeight="1">
      <c r="A27" s="226" t="s">
        <v>48</v>
      </c>
      <c r="B27" s="208">
        <f>B19+B16</f>
        <v>1749088</v>
      </c>
      <c r="C27" s="208">
        <f>C19+C16</f>
        <v>771111</v>
      </c>
      <c r="D27" s="208">
        <f>D19+D16</f>
        <v>1206864</v>
      </c>
      <c r="E27" s="208">
        <f>E19+E16</f>
        <v>1243385</v>
      </c>
      <c r="F27" s="500">
        <f>E27/D27%</f>
        <v>103.0261073327235</v>
      </c>
      <c r="G27" s="500">
        <f>(E27/B27-1)*100</f>
        <v>-28.91238176695512</v>
      </c>
      <c r="H27" s="501"/>
    </row>
    <row r="28" spans="1:8" ht="27.75" customHeight="1">
      <c r="A28" s="493"/>
      <c r="B28" s="493"/>
      <c r="C28" s="493"/>
      <c r="D28" s="493"/>
      <c r="E28" s="493"/>
      <c r="F28" s="493"/>
      <c r="G28" s="493"/>
      <c r="H28" s="493"/>
    </row>
  </sheetData>
  <sheetProtection/>
  <mergeCells count="2">
    <mergeCell ref="A2:H2"/>
    <mergeCell ref="A28:H28"/>
  </mergeCells>
  <printOptions horizontalCentered="1"/>
  <pageMargins left="0.24" right="0.24" top="0.75" bottom="0.9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IC37"/>
  <sheetViews>
    <sheetView view="pageBreakPreview" zoomScale="60" workbookViewId="0" topLeftCell="A1">
      <selection activeCell="A5" sqref="A5:IV36"/>
    </sheetView>
  </sheetViews>
  <sheetFormatPr defaultColWidth="8.00390625" defaultRowHeight="14.25"/>
  <cols>
    <col min="1" max="1" width="32.00390625" style="459" customWidth="1"/>
    <col min="2" max="2" width="8.00390625" style="459" customWidth="1"/>
    <col min="3" max="3" width="7.125" style="461" customWidth="1"/>
    <col min="4" max="4" width="8.875" style="461" customWidth="1"/>
    <col min="5" max="5" width="7.50390625" style="461" customWidth="1"/>
    <col min="6" max="6" width="7.75390625" style="461" customWidth="1"/>
    <col min="7" max="7" width="7.375" style="461" customWidth="1"/>
    <col min="8" max="8" width="10.625" style="461" customWidth="1"/>
    <col min="9" max="9" width="7.875" style="459" customWidth="1"/>
    <col min="10" max="10" width="19.50390625" style="459" customWidth="1"/>
    <col min="11" max="11" width="14.75390625" style="459" customWidth="1"/>
    <col min="12" max="12" width="11.625" style="459" customWidth="1"/>
    <col min="13" max="13" width="8.875" style="459" customWidth="1"/>
    <col min="14" max="237" width="7.875" style="459" customWidth="1"/>
    <col min="238" max="16384" width="8.00390625" style="358" customWidth="1"/>
  </cols>
  <sheetData>
    <row r="1" spans="1:2" ht="14.25">
      <c r="A1" s="440" t="s">
        <v>158</v>
      </c>
      <c r="B1" s="481"/>
    </row>
    <row r="2" spans="1:8" ht="24" customHeight="1">
      <c r="A2" s="441" t="s">
        <v>159</v>
      </c>
      <c r="B2" s="441"/>
      <c r="C2" s="441"/>
      <c r="D2" s="441"/>
      <c r="E2" s="441"/>
      <c r="F2" s="441"/>
      <c r="G2" s="441"/>
      <c r="H2" s="441"/>
    </row>
    <row r="3" spans="1:8" ht="12" customHeight="1">
      <c r="A3" s="464"/>
      <c r="B3" s="464"/>
      <c r="C3" s="467"/>
      <c r="D3" s="467"/>
      <c r="E3" s="467"/>
      <c r="F3" s="467"/>
      <c r="G3" s="467"/>
      <c r="H3" s="467" t="s">
        <v>3</v>
      </c>
    </row>
    <row r="4" spans="1:8" ht="30" customHeight="1">
      <c r="A4" s="190" t="s">
        <v>160</v>
      </c>
      <c r="B4" s="190" t="s">
        <v>5</v>
      </c>
      <c r="C4" s="190" t="s">
        <v>161</v>
      </c>
      <c r="D4" s="190" t="s">
        <v>7</v>
      </c>
      <c r="E4" s="190" t="s">
        <v>137</v>
      </c>
      <c r="F4" s="469" t="s">
        <v>138</v>
      </c>
      <c r="G4" s="469" t="s">
        <v>162</v>
      </c>
      <c r="H4" s="190" t="s">
        <v>139</v>
      </c>
    </row>
    <row r="5" spans="1:8" ht="19.5" customHeight="1">
      <c r="A5" s="191" t="s">
        <v>163</v>
      </c>
      <c r="B5" s="192">
        <f>SUM(B6:B7)</f>
        <v>5841</v>
      </c>
      <c r="C5" s="192">
        <f>SUM(C6:C7)</f>
        <v>5294</v>
      </c>
      <c r="D5" s="192">
        <f>SUM(D6:D7)</f>
        <v>5294</v>
      </c>
      <c r="E5" s="192">
        <f>SUM(E6:E7)</f>
        <v>5009</v>
      </c>
      <c r="F5" s="482">
        <f aca="true" t="shared" si="0" ref="F5:F16">E5/D5%</f>
        <v>94.61654703437854</v>
      </c>
      <c r="G5" s="482">
        <f aca="true" t="shared" si="1" ref="G5:G16">(E5/B5-1)*100</f>
        <v>-14.244136278034581</v>
      </c>
      <c r="H5" s="483"/>
    </row>
    <row r="6" spans="1:8" ht="19.5" customHeight="1">
      <c r="A6" s="191" t="s">
        <v>164</v>
      </c>
      <c r="B6" s="192">
        <v>5406</v>
      </c>
      <c r="C6" s="192">
        <v>4978</v>
      </c>
      <c r="D6" s="192">
        <v>4978</v>
      </c>
      <c r="E6" s="192">
        <v>4934</v>
      </c>
      <c r="F6" s="482">
        <f t="shared" si="0"/>
        <v>99.11611088790679</v>
      </c>
      <c r="G6" s="482">
        <f t="shared" si="1"/>
        <v>-8.731039585645583</v>
      </c>
      <c r="H6" s="484"/>
    </row>
    <row r="7" spans="1:8" ht="19.5" customHeight="1">
      <c r="A7" s="191" t="s">
        <v>165</v>
      </c>
      <c r="B7" s="192">
        <v>435</v>
      </c>
      <c r="C7" s="192">
        <v>316</v>
      </c>
      <c r="D7" s="192">
        <v>316</v>
      </c>
      <c r="E7" s="192">
        <v>75</v>
      </c>
      <c r="F7" s="482">
        <f t="shared" si="0"/>
        <v>23.734177215189874</v>
      </c>
      <c r="G7" s="482">
        <f t="shared" si="1"/>
        <v>-82.75862068965517</v>
      </c>
      <c r="H7" s="483"/>
    </row>
    <row r="8" spans="1:8" ht="19.5" customHeight="1">
      <c r="A8" s="191" t="s">
        <v>166</v>
      </c>
      <c r="B8" s="192">
        <f>SUM(B9:B15)</f>
        <v>651920</v>
      </c>
      <c r="C8" s="192">
        <f>SUM(C9:C15)</f>
        <v>555731</v>
      </c>
      <c r="D8" s="192">
        <f>SUM(D9:D15)</f>
        <v>984846</v>
      </c>
      <c r="E8" s="192">
        <f>SUM(E9:E15)</f>
        <v>999262</v>
      </c>
      <c r="F8" s="482">
        <f t="shared" si="0"/>
        <v>101.46378215477344</v>
      </c>
      <c r="G8" s="482">
        <f t="shared" si="1"/>
        <v>53.27985028837894</v>
      </c>
      <c r="H8" s="484"/>
    </row>
    <row r="9" spans="1:8" ht="19.5" customHeight="1">
      <c r="A9" s="191" t="s">
        <v>167</v>
      </c>
      <c r="B9" s="192">
        <v>551424</v>
      </c>
      <c r="C9" s="192">
        <v>480158</v>
      </c>
      <c r="D9" s="192">
        <v>891610</v>
      </c>
      <c r="E9" s="192">
        <v>898548</v>
      </c>
      <c r="F9" s="482">
        <f t="shared" si="0"/>
        <v>100.77814291001671</v>
      </c>
      <c r="G9" s="482">
        <f t="shared" si="1"/>
        <v>62.950470055710305</v>
      </c>
      <c r="H9" s="485"/>
    </row>
    <row r="10" spans="1:8" ht="19.5" customHeight="1">
      <c r="A10" s="191" t="s">
        <v>168</v>
      </c>
      <c r="B10" s="192">
        <v>5368</v>
      </c>
      <c r="C10" s="192">
        <v>3400</v>
      </c>
      <c r="D10" s="192">
        <v>1963</v>
      </c>
      <c r="E10" s="192">
        <v>1780</v>
      </c>
      <c r="F10" s="482">
        <f t="shared" si="0"/>
        <v>90.67753438614366</v>
      </c>
      <c r="G10" s="482">
        <f t="shared" si="1"/>
        <v>-66.84053651266765</v>
      </c>
      <c r="H10" s="485"/>
    </row>
    <row r="11" spans="1:8" ht="19.5" customHeight="1">
      <c r="A11" s="191" t="s">
        <v>169</v>
      </c>
      <c r="B11" s="192">
        <v>20233</v>
      </c>
      <c r="C11" s="192">
        <v>21527</v>
      </c>
      <c r="D11" s="192">
        <v>22527</v>
      </c>
      <c r="E11" s="192">
        <v>28386</v>
      </c>
      <c r="F11" s="482">
        <f t="shared" si="0"/>
        <v>126.0087894526568</v>
      </c>
      <c r="G11" s="482">
        <f t="shared" si="1"/>
        <v>40.29555676370287</v>
      </c>
      <c r="H11" s="485"/>
    </row>
    <row r="12" spans="1:8" ht="19.5" customHeight="1">
      <c r="A12" s="191" t="s">
        <v>170</v>
      </c>
      <c r="B12" s="192">
        <v>3595</v>
      </c>
      <c r="C12" s="192">
        <v>7676</v>
      </c>
      <c r="D12" s="192">
        <v>7676</v>
      </c>
      <c r="E12" s="192">
        <v>2744</v>
      </c>
      <c r="F12" s="482">
        <f t="shared" si="0"/>
        <v>35.747785304846275</v>
      </c>
      <c r="G12" s="482">
        <f t="shared" si="1"/>
        <v>-23.671766342141865</v>
      </c>
      <c r="H12" s="485"/>
    </row>
    <row r="13" spans="1:8" ht="19.5" customHeight="1">
      <c r="A13" s="191" t="s">
        <v>171</v>
      </c>
      <c r="B13" s="192">
        <v>19555</v>
      </c>
      <c r="C13" s="192"/>
      <c r="D13" s="192"/>
      <c r="E13" s="192"/>
      <c r="F13" s="482"/>
      <c r="G13" s="482">
        <f t="shared" si="1"/>
        <v>-100</v>
      </c>
      <c r="H13" s="485"/>
    </row>
    <row r="14" spans="1:8" ht="19.5" customHeight="1">
      <c r="A14" s="191" t="s">
        <v>172</v>
      </c>
      <c r="B14" s="192">
        <v>46258</v>
      </c>
      <c r="C14" s="192">
        <v>37429</v>
      </c>
      <c r="D14" s="192">
        <v>55329</v>
      </c>
      <c r="E14" s="192">
        <v>62519</v>
      </c>
      <c r="F14" s="482">
        <f t="shared" si="0"/>
        <v>112.99499358383488</v>
      </c>
      <c r="G14" s="482">
        <f t="shared" si="1"/>
        <v>35.15283842794761</v>
      </c>
      <c r="H14" s="485"/>
    </row>
    <row r="15" spans="1:8" ht="19.5" customHeight="1">
      <c r="A15" s="191" t="s">
        <v>173</v>
      </c>
      <c r="B15" s="447">
        <v>5487</v>
      </c>
      <c r="C15" s="447">
        <v>5541</v>
      </c>
      <c r="D15" s="447">
        <v>5741</v>
      </c>
      <c r="E15" s="447">
        <v>5285</v>
      </c>
      <c r="F15" s="482">
        <f t="shared" si="0"/>
        <v>92.05713290367532</v>
      </c>
      <c r="G15" s="482">
        <f t="shared" si="1"/>
        <v>-3.681428831784217</v>
      </c>
      <c r="H15" s="485"/>
    </row>
    <row r="16" spans="1:8" ht="19.5" customHeight="1">
      <c r="A16" s="446" t="s">
        <v>174</v>
      </c>
      <c r="B16" s="447">
        <f>SUM(B17:B18)</f>
        <v>1047</v>
      </c>
      <c r="C16" s="447">
        <f>SUM(C17:C18)</f>
        <v>703</v>
      </c>
      <c r="D16" s="447">
        <f>SUM(D17:D18)</f>
        <v>608</v>
      </c>
      <c r="E16" s="447">
        <f>SUM(E17:E18)</f>
        <v>1128</v>
      </c>
      <c r="F16" s="482">
        <f t="shared" si="0"/>
        <v>185.52631578947367</v>
      </c>
      <c r="G16" s="482">
        <f t="shared" si="1"/>
        <v>7.73638968481376</v>
      </c>
      <c r="H16" s="485"/>
    </row>
    <row r="17" spans="1:8" ht="19.5" customHeight="1">
      <c r="A17" s="446" t="s">
        <v>175</v>
      </c>
      <c r="B17" s="192">
        <v>249</v>
      </c>
      <c r="C17" s="192">
        <v>60</v>
      </c>
      <c r="D17" s="192">
        <v>0</v>
      </c>
      <c r="E17" s="192"/>
      <c r="F17" s="482"/>
      <c r="G17" s="482">
        <f aca="true" t="shared" si="2" ref="G17:G22">(E17/B17-1)*100</f>
        <v>-100</v>
      </c>
      <c r="H17" s="484"/>
    </row>
    <row r="18" spans="1:8" ht="19.5" customHeight="1">
      <c r="A18" s="446" t="s">
        <v>176</v>
      </c>
      <c r="B18" s="192">
        <v>798</v>
      </c>
      <c r="C18" s="192">
        <v>643</v>
      </c>
      <c r="D18" s="192">
        <v>608</v>
      </c>
      <c r="E18" s="192">
        <v>1128</v>
      </c>
      <c r="F18" s="482">
        <f aca="true" t="shared" si="3" ref="F18:F27">E18/D18%</f>
        <v>185.52631578947367</v>
      </c>
      <c r="G18" s="482">
        <f t="shared" si="2"/>
        <v>41.35338345864661</v>
      </c>
      <c r="H18" s="484"/>
    </row>
    <row r="19" spans="1:8" ht="19.5" customHeight="1">
      <c r="A19" s="191" t="s">
        <v>177</v>
      </c>
      <c r="B19" s="192">
        <f>SUM(B20:B22)</f>
        <v>19797</v>
      </c>
      <c r="C19" s="192">
        <f>SUM(C20:C22)</f>
        <v>39715</v>
      </c>
      <c r="D19" s="192">
        <f>SUM(D20:D22)</f>
        <v>30455</v>
      </c>
      <c r="E19" s="192">
        <f>SUM(E20:E22)</f>
        <v>21308</v>
      </c>
      <c r="F19" s="482">
        <f t="shared" si="3"/>
        <v>69.96552290264324</v>
      </c>
      <c r="G19" s="482">
        <f t="shared" si="2"/>
        <v>7.6324695660958675</v>
      </c>
      <c r="H19" s="484"/>
    </row>
    <row r="20" spans="1:8" ht="19.5" customHeight="1">
      <c r="A20" s="201" t="s">
        <v>178</v>
      </c>
      <c r="B20" s="192">
        <v>2079</v>
      </c>
      <c r="C20" s="192">
        <f>10214+101+8100+14</f>
        <v>18429</v>
      </c>
      <c r="D20" s="192">
        <f>9694+30+45</f>
        <v>9769</v>
      </c>
      <c r="E20" s="192">
        <f>194+83+1146</f>
        <v>1423</v>
      </c>
      <c r="F20" s="482">
        <f t="shared" si="3"/>
        <v>14.566485822499745</v>
      </c>
      <c r="G20" s="482">
        <f t="shared" si="2"/>
        <v>-31.553631553631554</v>
      </c>
      <c r="H20" s="472"/>
    </row>
    <row r="21" spans="1:8" ht="19.5" customHeight="1">
      <c r="A21" s="201" t="s">
        <v>179</v>
      </c>
      <c r="B21" s="192">
        <v>2527</v>
      </c>
      <c r="C21" s="192">
        <v>2307</v>
      </c>
      <c r="D21" s="192">
        <v>2307</v>
      </c>
      <c r="E21" s="192">
        <v>2348</v>
      </c>
      <c r="F21" s="482">
        <f t="shared" si="3"/>
        <v>101.77719982661465</v>
      </c>
      <c r="G21" s="482">
        <f t="shared" si="2"/>
        <v>-7.083498219232287</v>
      </c>
      <c r="H21" s="484"/>
    </row>
    <row r="22" spans="1:8" ht="19.5" customHeight="1">
      <c r="A22" s="201" t="s">
        <v>180</v>
      </c>
      <c r="B22" s="192">
        <v>15191</v>
      </c>
      <c r="C22" s="192">
        <v>18979</v>
      </c>
      <c r="D22" s="192">
        <v>18379</v>
      </c>
      <c r="E22" s="192">
        <v>17537</v>
      </c>
      <c r="F22" s="482">
        <f t="shared" si="3"/>
        <v>95.41868436802874</v>
      </c>
      <c r="G22" s="482">
        <f t="shared" si="2"/>
        <v>15.443354617865834</v>
      </c>
      <c r="H22" s="484"/>
    </row>
    <row r="23" spans="1:8" s="459" customFormat="1" ht="19.5" customHeight="1">
      <c r="A23" s="201" t="s">
        <v>181</v>
      </c>
      <c r="B23" s="192"/>
      <c r="C23" s="192">
        <v>29990</v>
      </c>
      <c r="D23" s="192">
        <v>30907</v>
      </c>
      <c r="E23" s="192">
        <v>32601</v>
      </c>
      <c r="F23" s="482"/>
      <c r="G23" s="482"/>
      <c r="H23" s="484"/>
    </row>
    <row r="24" spans="1:8" ht="19.5" customHeight="1">
      <c r="A24" s="204" t="s">
        <v>84</v>
      </c>
      <c r="B24" s="192">
        <f>SUM(B5,B8,B16,B19,B23)</f>
        <v>678605</v>
      </c>
      <c r="C24" s="192">
        <f>SUM(C5,C8,C16,C19,C23)</f>
        <v>631433</v>
      </c>
      <c r="D24" s="192">
        <f>SUM(D5,D8,D16,D19,D23)</f>
        <v>1052110</v>
      </c>
      <c r="E24" s="192">
        <f>SUM(E5,E8,E16,E19,E23)</f>
        <v>1059308</v>
      </c>
      <c r="F24" s="482">
        <f t="shared" si="3"/>
        <v>100.68414899582743</v>
      </c>
      <c r="G24" s="482">
        <f>(E24/659050-1)*100</f>
        <v>60.73256960776876</v>
      </c>
      <c r="H24" s="486" t="s">
        <v>182</v>
      </c>
    </row>
    <row r="25" spans="1:8" ht="19.5" customHeight="1">
      <c r="A25" s="204"/>
      <c r="B25" s="192"/>
      <c r="C25" s="192"/>
      <c r="D25" s="447"/>
      <c r="E25" s="447"/>
      <c r="F25" s="482"/>
      <c r="G25" s="482"/>
      <c r="H25" s="484"/>
    </row>
    <row r="26" spans="1:8" ht="19.5" customHeight="1">
      <c r="A26" s="449" t="s">
        <v>85</v>
      </c>
      <c r="B26" s="192">
        <f>B27</f>
        <v>944300</v>
      </c>
      <c r="C26" s="192">
        <f>C27</f>
        <v>39000</v>
      </c>
      <c r="D26" s="192">
        <f>D27</f>
        <v>32000</v>
      </c>
      <c r="E26" s="192">
        <f>E27</f>
        <v>32000</v>
      </c>
      <c r="F26" s="482">
        <f t="shared" si="3"/>
        <v>100</v>
      </c>
      <c r="G26" s="482"/>
      <c r="H26" s="484"/>
    </row>
    <row r="27" spans="1:8" ht="19.5" customHeight="1">
      <c r="A27" s="449" t="s">
        <v>183</v>
      </c>
      <c r="B27" s="192">
        <v>944300</v>
      </c>
      <c r="C27" s="192">
        <v>39000</v>
      </c>
      <c r="D27" s="447">
        <v>32000</v>
      </c>
      <c r="E27" s="447">
        <v>32000</v>
      </c>
      <c r="F27" s="482">
        <f t="shared" si="3"/>
        <v>100</v>
      </c>
      <c r="G27" s="482"/>
      <c r="H27" s="484"/>
    </row>
    <row r="28" spans="1:8" ht="19.5" customHeight="1">
      <c r="A28" s="204"/>
      <c r="B28" s="192"/>
      <c r="C28" s="192"/>
      <c r="D28" s="447"/>
      <c r="E28" s="447"/>
      <c r="F28" s="482"/>
      <c r="G28" s="482"/>
      <c r="H28" s="484"/>
    </row>
    <row r="29" spans="1:8" ht="19.5" customHeight="1">
      <c r="A29" s="191" t="s">
        <v>88</v>
      </c>
      <c r="B29" s="192">
        <f>B30+B33+B34</f>
        <v>126183</v>
      </c>
      <c r="C29" s="192">
        <f>C30+C33+C34</f>
        <v>100678</v>
      </c>
      <c r="D29" s="192">
        <f>D30+D33+D34</f>
        <v>122754</v>
      </c>
      <c r="E29" s="192">
        <f>E30+E33+E34</f>
        <v>152077</v>
      </c>
      <c r="F29" s="482"/>
      <c r="G29" s="482"/>
      <c r="H29" s="484"/>
    </row>
    <row r="30" spans="1:8" ht="19.5" customHeight="1">
      <c r="A30" s="191" t="s">
        <v>184</v>
      </c>
      <c r="B30" s="192">
        <f>SUM(B31:B32)</f>
        <v>976</v>
      </c>
      <c r="C30" s="192">
        <f>SUM(C31:C32)</f>
        <v>242</v>
      </c>
      <c r="D30" s="192">
        <f>SUM(D31:D32)</f>
        <v>242</v>
      </c>
      <c r="E30" s="192">
        <f>SUM(E31:E32)</f>
        <v>254</v>
      </c>
      <c r="F30" s="482"/>
      <c r="G30" s="482"/>
      <c r="H30" s="484"/>
    </row>
    <row r="31" spans="1:8" ht="19.5" customHeight="1">
      <c r="A31" s="191" t="s">
        <v>185</v>
      </c>
      <c r="B31" s="192"/>
      <c r="C31" s="192"/>
      <c r="D31" s="447"/>
      <c r="E31" s="447"/>
      <c r="F31" s="482"/>
      <c r="G31" s="482"/>
      <c r="H31" s="484"/>
    </row>
    <row r="32" spans="1:8" ht="19.5" customHeight="1">
      <c r="A32" s="191" t="s">
        <v>186</v>
      </c>
      <c r="B32" s="192">
        <v>976</v>
      </c>
      <c r="C32" s="192">
        <v>242</v>
      </c>
      <c r="D32" s="192">
        <v>242</v>
      </c>
      <c r="E32" s="447">
        <v>254</v>
      </c>
      <c r="F32" s="482"/>
      <c r="G32" s="482"/>
      <c r="H32" s="484"/>
    </row>
    <row r="33" spans="1:8" ht="19.5" customHeight="1">
      <c r="A33" s="191" t="s">
        <v>187</v>
      </c>
      <c r="B33" s="192">
        <v>41082</v>
      </c>
      <c r="C33" s="192">
        <v>24224</v>
      </c>
      <c r="D33" s="192">
        <v>48736</v>
      </c>
      <c r="E33" s="447">
        <v>104413</v>
      </c>
      <c r="F33" s="487"/>
      <c r="G33" s="294"/>
      <c r="H33" s="488"/>
    </row>
    <row r="34" spans="1:8" ht="19.5" customHeight="1">
      <c r="A34" s="191" t="s">
        <v>188</v>
      </c>
      <c r="B34" s="192">
        <v>84125</v>
      </c>
      <c r="C34" s="192">
        <v>76212</v>
      </c>
      <c r="D34" s="192">
        <v>73776</v>
      </c>
      <c r="E34" s="489">
        <v>47410</v>
      </c>
      <c r="F34" s="482"/>
      <c r="G34" s="482"/>
      <c r="H34" s="484"/>
    </row>
    <row r="35" spans="1:8" ht="19.5" customHeight="1">
      <c r="A35" s="191"/>
      <c r="B35" s="192"/>
      <c r="C35" s="192"/>
      <c r="D35" s="192"/>
      <c r="E35" s="489"/>
      <c r="F35" s="482"/>
      <c r="G35" s="482"/>
      <c r="H35" s="484"/>
    </row>
    <row r="36" spans="1:8" ht="19.5" customHeight="1">
      <c r="A36" s="226" t="s">
        <v>93</v>
      </c>
      <c r="B36" s="490">
        <f>B24+B29+B26</f>
        <v>1749088</v>
      </c>
      <c r="C36" s="490">
        <f>C24+C29+C26</f>
        <v>771111</v>
      </c>
      <c r="D36" s="490">
        <f>D24+D29+D26</f>
        <v>1206864</v>
      </c>
      <c r="E36" s="490">
        <f>E24+E29+E26</f>
        <v>1243385</v>
      </c>
      <c r="F36" s="491">
        <f>E36/D36%</f>
        <v>103.0261073327235</v>
      </c>
      <c r="G36" s="491">
        <f>(E36/B36-1)*100</f>
        <v>-28.91238176695512</v>
      </c>
      <c r="H36" s="492"/>
    </row>
    <row r="37" spans="1:237" s="480" customFormat="1" ht="36" customHeight="1">
      <c r="A37" s="493" t="s">
        <v>189</v>
      </c>
      <c r="B37" s="493"/>
      <c r="C37" s="493"/>
      <c r="D37" s="493"/>
      <c r="E37" s="493"/>
      <c r="F37" s="493"/>
      <c r="G37" s="493"/>
      <c r="H37" s="493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4"/>
      <c r="Z37" s="494"/>
      <c r="AA37" s="494"/>
      <c r="AB37" s="494"/>
      <c r="AC37" s="494"/>
      <c r="AD37" s="494"/>
      <c r="AE37" s="494"/>
      <c r="AF37" s="494"/>
      <c r="AG37" s="494"/>
      <c r="AH37" s="494"/>
      <c r="AI37" s="494"/>
      <c r="AJ37" s="494"/>
      <c r="AK37" s="494"/>
      <c r="AL37" s="494"/>
      <c r="AM37" s="494"/>
      <c r="AN37" s="494"/>
      <c r="AO37" s="494"/>
      <c r="AP37" s="494"/>
      <c r="AQ37" s="494"/>
      <c r="AR37" s="494"/>
      <c r="AS37" s="494"/>
      <c r="AT37" s="494"/>
      <c r="AU37" s="494"/>
      <c r="AV37" s="494"/>
      <c r="AW37" s="494"/>
      <c r="AX37" s="494"/>
      <c r="AY37" s="494"/>
      <c r="AZ37" s="494"/>
      <c r="BA37" s="494"/>
      <c r="BB37" s="494"/>
      <c r="BC37" s="494"/>
      <c r="BD37" s="494"/>
      <c r="BE37" s="494"/>
      <c r="BF37" s="494"/>
      <c r="BG37" s="494"/>
      <c r="BH37" s="494"/>
      <c r="BI37" s="494"/>
      <c r="BJ37" s="494"/>
      <c r="BK37" s="494"/>
      <c r="BL37" s="494"/>
      <c r="BM37" s="494"/>
      <c r="BN37" s="494"/>
      <c r="BO37" s="494"/>
      <c r="BP37" s="494"/>
      <c r="BQ37" s="494"/>
      <c r="BR37" s="494"/>
      <c r="BS37" s="494"/>
      <c r="BT37" s="494"/>
      <c r="BU37" s="494"/>
      <c r="BV37" s="494"/>
      <c r="BW37" s="494"/>
      <c r="BX37" s="494"/>
      <c r="BY37" s="494"/>
      <c r="BZ37" s="494"/>
      <c r="CA37" s="494"/>
      <c r="CB37" s="494"/>
      <c r="CC37" s="494"/>
      <c r="CD37" s="494"/>
      <c r="CE37" s="494"/>
      <c r="CF37" s="494"/>
      <c r="CG37" s="494"/>
      <c r="CH37" s="494"/>
      <c r="CI37" s="494"/>
      <c r="CJ37" s="494"/>
      <c r="CK37" s="494"/>
      <c r="CL37" s="494"/>
      <c r="CM37" s="494"/>
      <c r="CN37" s="494"/>
      <c r="CO37" s="494"/>
      <c r="CP37" s="494"/>
      <c r="CQ37" s="494"/>
      <c r="CR37" s="494"/>
      <c r="CS37" s="494"/>
      <c r="CT37" s="494"/>
      <c r="CU37" s="494"/>
      <c r="CV37" s="494"/>
      <c r="CW37" s="494"/>
      <c r="CX37" s="494"/>
      <c r="CY37" s="494"/>
      <c r="CZ37" s="494"/>
      <c r="DA37" s="494"/>
      <c r="DB37" s="494"/>
      <c r="DC37" s="494"/>
      <c r="DD37" s="494"/>
      <c r="DE37" s="494"/>
      <c r="DF37" s="494"/>
      <c r="DG37" s="494"/>
      <c r="DH37" s="494"/>
      <c r="DI37" s="494"/>
      <c r="DJ37" s="494"/>
      <c r="DK37" s="494"/>
      <c r="DL37" s="494"/>
      <c r="DM37" s="494"/>
      <c r="DN37" s="494"/>
      <c r="DO37" s="494"/>
      <c r="DP37" s="494"/>
      <c r="DQ37" s="494"/>
      <c r="DR37" s="494"/>
      <c r="DS37" s="494"/>
      <c r="DT37" s="494"/>
      <c r="DU37" s="494"/>
      <c r="DV37" s="494"/>
      <c r="DW37" s="494"/>
      <c r="DX37" s="494"/>
      <c r="DY37" s="494"/>
      <c r="DZ37" s="494"/>
      <c r="EA37" s="494"/>
      <c r="EB37" s="494"/>
      <c r="EC37" s="494"/>
      <c r="ED37" s="494"/>
      <c r="EE37" s="494"/>
      <c r="EF37" s="494"/>
      <c r="EG37" s="494"/>
      <c r="EH37" s="494"/>
      <c r="EI37" s="494"/>
      <c r="EJ37" s="494"/>
      <c r="EK37" s="494"/>
      <c r="EL37" s="494"/>
      <c r="EM37" s="494"/>
      <c r="EN37" s="494"/>
      <c r="EO37" s="494"/>
      <c r="EP37" s="494"/>
      <c r="EQ37" s="494"/>
      <c r="ER37" s="494"/>
      <c r="ES37" s="494"/>
      <c r="ET37" s="494"/>
      <c r="EU37" s="494"/>
      <c r="EV37" s="494"/>
      <c r="EW37" s="494"/>
      <c r="EX37" s="494"/>
      <c r="EY37" s="494"/>
      <c r="EZ37" s="494"/>
      <c r="FA37" s="494"/>
      <c r="FB37" s="494"/>
      <c r="FC37" s="494"/>
      <c r="FD37" s="494"/>
      <c r="FE37" s="494"/>
      <c r="FF37" s="494"/>
      <c r="FG37" s="494"/>
      <c r="FH37" s="494"/>
      <c r="FI37" s="494"/>
      <c r="FJ37" s="494"/>
      <c r="FK37" s="494"/>
      <c r="FL37" s="494"/>
      <c r="FM37" s="494"/>
      <c r="FN37" s="494"/>
      <c r="FO37" s="494"/>
      <c r="FP37" s="494"/>
      <c r="FQ37" s="494"/>
      <c r="FR37" s="494"/>
      <c r="FS37" s="494"/>
      <c r="FT37" s="494"/>
      <c r="FU37" s="494"/>
      <c r="FV37" s="494"/>
      <c r="FW37" s="494"/>
      <c r="FX37" s="494"/>
      <c r="FY37" s="494"/>
      <c r="FZ37" s="494"/>
      <c r="GA37" s="494"/>
      <c r="GB37" s="494"/>
      <c r="GC37" s="494"/>
      <c r="GD37" s="494"/>
      <c r="GE37" s="494"/>
      <c r="GF37" s="494"/>
      <c r="GG37" s="494"/>
      <c r="GH37" s="494"/>
      <c r="GI37" s="494"/>
      <c r="GJ37" s="494"/>
      <c r="GK37" s="494"/>
      <c r="GL37" s="494"/>
      <c r="GM37" s="494"/>
      <c r="GN37" s="494"/>
      <c r="GO37" s="494"/>
      <c r="GP37" s="494"/>
      <c r="GQ37" s="494"/>
      <c r="GR37" s="494"/>
      <c r="GS37" s="494"/>
      <c r="GT37" s="494"/>
      <c r="GU37" s="494"/>
      <c r="GV37" s="494"/>
      <c r="GW37" s="494"/>
      <c r="GX37" s="494"/>
      <c r="GY37" s="494"/>
      <c r="GZ37" s="494"/>
      <c r="HA37" s="494"/>
      <c r="HB37" s="494"/>
      <c r="HC37" s="494"/>
      <c r="HD37" s="494"/>
      <c r="HE37" s="494"/>
      <c r="HF37" s="494"/>
      <c r="HG37" s="494"/>
      <c r="HH37" s="494"/>
      <c r="HI37" s="494"/>
      <c r="HJ37" s="494"/>
      <c r="HK37" s="494"/>
      <c r="HL37" s="494"/>
      <c r="HM37" s="494"/>
      <c r="HN37" s="494"/>
      <c r="HO37" s="494"/>
      <c r="HP37" s="494"/>
      <c r="HQ37" s="494"/>
      <c r="HR37" s="494"/>
      <c r="HS37" s="494"/>
      <c r="HT37" s="494"/>
      <c r="HU37" s="494"/>
      <c r="HV37" s="494"/>
      <c r="HW37" s="494"/>
      <c r="HX37" s="494"/>
      <c r="HY37" s="494"/>
      <c r="HZ37" s="494"/>
      <c r="IA37" s="494"/>
      <c r="IB37" s="494"/>
      <c r="IC37" s="494"/>
    </row>
  </sheetData>
  <sheetProtection/>
  <mergeCells count="2">
    <mergeCell ref="A2:H2"/>
    <mergeCell ref="A37:H37"/>
  </mergeCells>
  <printOptions horizontalCentered="1"/>
  <pageMargins left="0.25" right="0.25" top="0.75" bottom="0.9" header="0.3" footer="0.3"/>
  <pageSetup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枣庄市财政局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于明</dc:creator>
  <cp:keywords/>
  <dc:description/>
  <cp:lastModifiedBy>Administrator</cp:lastModifiedBy>
  <cp:lastPrinted>2018-01-02T14:32:51Z</cp:lastPrinted>
  <dcterms:created xsi:type="dcterms:W3CDTF">2000-04-07T09:16:19Z</dcterms:created>
  <dcterms:modified xsi:type="dcterms:W3CDTF">2018-01-26T01:23:57Z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